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" sheetId="1" r:id="rId5"/>
    <sheet state="visible" name="Churn Year 3-5" sheetId="2" r:id="rId6"/>
  </sheets>
  <definedNames>
    <definedName name="Toggle">Model!$H$234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64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Assumes that inventory balance grows at half of sales growth rate</t>
      </text>
    </comment>
    <comment authorId="0" ref="AL31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Assumes that inventory balance grows at half the rate of sales growth</t>
      </text>
    </comment>
    <comment authorId="0" ref="B234">
      <text>
        <t xml:space="preserve">Andrew:
Monthly
</t>
      </text>
    </comment>
    <comment authorId="0" ref="C229">
      <text>
        <t xml:space="preserve">Andrew:
Assumes that NOL can be used to offset 80% of taxable income in any given period</t>
      </text>
    </comment>
  </commentList>
</comments>
</file>

<file path=xl/sharedStrings.xml><?xml version="1.0" encoding="utf-8"?>
<sst xmlns="http://schemas.openxmlformats.org/spreadsheetml/2006/main" count="186" uniqueCount="152">
  <si>
    <t>Churn Projections Year 3-5</t>
  </si>
  <si>
    <t>December
prior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</si>
  <si>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</si>
  <si>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</si>
  <si>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</si>
  <si>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</si>
  <si>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</si>
  <si>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</si>
  <si>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</si>
  <si>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</si>
  <si>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</si>
  <si>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</si>
  <si>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</si>
  <si>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</si>
  <si>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</t>
  </si>
  <si>
    <t>Monthly Average</t>
  </si>
  <si>
    <t xml:space="preserve">Victoria Model </t>
  </si>
  <si>
    <t>Year 3</t>
  </si>
  <si>
    <t>Monthly Actuals</t>
  </si>
  <si>
    <t>Monthly Projections</t>
  </si>
  <si>
    <t>Annual Projections</t>
  </si>
  <si>
    <t>MoM growth rate new customers</t>
  </si>
  <si>
    <t>2023</t>
  </si>
  <si>
    <t>2024</t>
  </si>
  <si>
    <t>2025</t>
  </si>
  <si>
    <t>2026</t>
  </si>
  <si>
    <t>2027</t>
  </si>
  <si>
    <t>Sales team</t>
  </si>
  <si>
    <t>Churn rate</t>
  </si>
  <si>
    <t>Salespeople - BoP</t>
  </si>
  <si>
    <t># of salespeople hired</t>
  </si>
  <si>
    <t>Average active units</t>
  </si>
  <si>
    <t># of salespeople departed</t>
  </si>
  <si>
    <t>Salespeople EoP</t>
  </si>
  <si>
    <t>Year 4</t>
  </si>
  <si>
    <t>Productive salespeople</t>
  </si>
  <si>
    <t>Units sold per salesperson</t>
  </si>
  <si>
    <t>Year 5</t>
  </si>
  <si>
    <t>Maximum demand</t>
  </si>
  <si>
    <t>Production plan</t>
  </si>
  <si>
    <t>Production plan - Finished Goods (units)</t>
  </si>
  <si>
    <t>Units produced</t>
  </si>
  <si>
    <t>Assumption: constant monthly growth rate within each calendar year</t>
  </si>
  <si>
    <t>Units available for sale</t>
  </si>
  <si>
    <t>% allowance for diff. sizes etc.</t>
  </si>
  <si>
    <t>Units sold</t>
  </si>
  <si>
    <t>Inventory - Finished Goods (units) - BoP</t>
  </si>
  <si>
    <t>Inventory - Finished Goods (units) - EoP</t>
  </si>
  <si>
    <t>Subscriptions</t>
  </si>
  <si>
    <t>Monthly churn</t>
  </si>
  <si>
    <t>Active units BoP</t>
  </si>
  <si>
    <t>Churn</t>
  </si>
  <si>
    <t>Active units EoP</t>
  </si>
  <si>
    <t>KPIs + Financing</t>
  </si>
  <si>
    <t>Cumulative # units sold</t>
  </si>
  <si>
    <t># of units active for 3+ months</t>
  </si>
  <si>
    <r>
      <rPr>
        <rFont val="Times New Roman"/>
        <color theme="1"/>
        <sz val="10.0"/>
      </rPr>
      <t xml:space="preserve">Fundraising ($000) </t>
    </r>
    <r>
      <rPr>
        <rFont val="Times New Roman"/>
        <b/>
        <color theme="1"/>
        <sz val="10.0"/>
      </rPr>
      <t>Series A</t>
    </r>
  </si>
  <si>
    <r>
      <rPr>
        <rFont val="Times New Roman"/>
        <color theme="1"/>
        <sz val="10.0"/>
      </rPr>
      <t xml:space="preserve">Fundraising ($000) </t>
    </r>
    <r>
      <rPr>
        <rFont val="Times New Roman"/>
        <b/>
        <color theme="1"/>
        <sz val="10.0"/>
      </rPr>
      <t>Series B</t>
    </r>
  </si>
  <si>
    <t>Inventory</t>
  </si>
  <si>
    <t>Electronics</t>
  </si>
  <si>
    <t>Inventory (units) - BoP</t>
  </si>
  <si>
    <t>Units purchased (2 units per pair of shoes)</t>
  </si>
  <si>
    <t>Converted into finished goods</t>
  </si>
  <si>
    <t>Inventory (units) - EoP</t>
  </si>
  <si>
    <t>Purchase price per unit ($)</t>
  </si>
  <si>
    <t>Avg. cost per unit converted into finished goods ($)</t>
  </si>
  <si>
    <t>Inventory ($000) - BoP</t>
  </si>
  <si>
    <t>Inventory purchased</t>
  </si>
  <si>
    <t>Inventory ($000) - EoP</t>
  </si>
  <si>
    <t>Finished goods</t>
  </si>
  <si>
    <t>Production cost per unit ($)</t>
  </si>
  <si>
    <t>Avg. cost per unit available for sale ($)</t>
  </si>
  <si>
    <t>COGS Product ($000)</t>
  </si>
  <si>
    <t>Cost of electronics</t>
  </si>
  <si>
    <t>Production costs</t>
  </si>
  <si>
    <t>Inventory produced ($000)</t>
  </si>
  <si>
    <t>Revenue</t>
  </si>
  <si>
    <t>Hardware revenue</t>
  </si>
  <si>
    <t>ASP/Unit</t>
  </si>
  <si>
    <t>Hardware revenue ($000)</t>
  </si>
  <si>
    <t>as % of total sales</t>
  </si>
  <si>
    <t>Subscription/unit</t>
  </si>
  <si>
    <t>Subscription revenue ($000)</t>
  </si>
  <si>
    <t>Income statement ($000)</t>
  </si>
  <si>
    <t>Total revenue ($000)</t>
  </si>
  <si>
    <t>MoM / YoY growth</t>
  </si>
  <si>
    <t>Returns</t>
  </si>
  <si>
    <t>as % of hardware revenue</t>
  </si>
  <si>
    <t>Credit card Transaction fees</t>
  </si>
  <si>
    <t>as % of total revenues plus returns</t>
  </si>
  <si>
    <t>Sales Commission</t>
  </si>
  <si>
    <t>sales commission per unit sold</t>
  </si>
  <si>
    <t>COGS - Product ($000)</t>
  </si>
  <si>
    <t>as a % of hardware sales</t>
  </si>
  <si>
    <t>units sold</t>
  </si>
  <si>
    <t>inventory cost per unit sold</t>
  </si>
  <si>
    <t>COGS - Subscription ($000)</t>
  </si>
  <si>
    <t>as a % of subscription sales</t>
  </si>
  <si>
    <t>average active units</t>
  </si>
  <si>
    <t xml:space="preserve">cost per unit </t>
  </si>
  <si>
    <t>Gross profit ($000)</t>
  </si>
  <si>
    <t>Gross Margin</t>
  </si>
  <si>
    <t>Salesforce salaries</t>
  </si>
  <si>
    <t>as % of sales</t>
  </si>
  <si>
    <t>avg. cost per salesperson</t>
  </si>
  <si>
    <t>Marketing expense</t>
  </si>
  <si>
    <t>Research &amp; development</t>
  </si>
  <si>
    <t>avg. cost per engineer</t>
  </si>
  <si>
    <t># of engineers</t>
  </si>
  <si>
    <t>General &amp; administrative</t>
  </si>
  <si>
    <t>Office salaries</t>
  </si>
  <si>
    <t>Avg. cost per gen. employee</t>
  </si>
  <si>
    <t># of office employees</t>
  </si>
  <si>
    <t>Manager salaries</t>
  </si>
  <si>
    <t>Avg. cost per manager</t>
  </si>
  <si>
    <t># of managers</t>
  </si>
  <si>
    <t>Payroll taxes</t>
  </si>
  <si>
    <t>as % of salaries</t>
  </si>
  <si>
    <t>Health insurance</t>
  </si>
  <si>
    <t>Equipment &amp; furniture</t>
  </si>
  <si>
    <t>Worker's comp insurance</t>
  </si>
  <si>
    <t>D&amp;O insurance</t>
  </si>
  <si>
    <t>General liability insurance</t>
  </si>
  <si>
    <t>Accounting and tax prep</t>
  </si>
  <si>
    <t>Legal fees</t>
  </si>
  <si>
    <t>Professional fees</t>
  </si>
  <si>
    <t>Software &lt; $500</t>
  </si>
  <si>
    <t>Janitorial</t>
  </si>
  <si>
    <t>Depreciation</t>
  </si>
  <si>
    <t>Operating profit ($000)</t>
  </si>
  <si>
    <t>Operating Margin</t>
  </si>
  <si>
    <t>Taxes paid (after NOL)</t>
  </si>
  <si>
    <t>tax rate</t>
  </si>
  <si>
    <t>Profit ($000)</t>
  </si>
  <si>
    <t>Profit margin</t>
  </si>
  <si>
    <t>Cash flow ($000)</t>
  </si>
  <si>
    <t>Cash balance - BoP</t>
  </si>
  <si>
    <t>Profit</t>
  </si>
  <si>
    <t>(+) depreciation &amp; amortization</t>
  </si>
  <si>
    <t>(-) change in net working capital</t>
  </si>
  <si>
    <t>(-) capital expenditure</t>
  </si>
  <si>
    <t>Free cash flow ($000)</t>
  </si>
  <si>
    <t>Fundraising</t>
  </si>
  <si>
    <t>Cash balance - EoP ($000)</t>
  </si>
  <si>
    <t>Net Operating Loss Carryforward ($000)</t>
  </si>
  <si>
    <t>NOL Balance - BoP</t>
  </si>
  <si>
    <t>NOL created</t>
  </si>
  <si>
    <t>NOL used</t>
  </si>
  <si>
    <t>NOL Balance - EoP</t>
  </si>
  <si>
    <t>Production cost per unit</t>
  </si>
  <si>
    <t>Min Quantity</t>
  </si>
  <si>
    <t>Price /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</si>
</sst>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5">
    <numFmt numFmtId="164" formatCode="&quot;M&quot;\ 0;&quot;M&quot;\ \-0"/>
    <numFmt numFmtId="165" formatCode="[$-409]mmm\-yy"/>
    <numFmt numFmtId="166" formatCode="_(* #,##0_);_(* \(#,##0\);_(* &quot;-&quot;??_);_(@_)"/>
    <numFmt numFmtId="167" formatCode="0.0%"/>
    <numFmt numFmtId="168" formatCode="#,##0_);\(#,##0\);\-_)"/>
    <numFmt numFmtId="169" formatCode="0.0000000000"/>
    <numFmt numFmtId="170" formatCode="&quot;$&quot;#,##0.00_);[Red]\(&quot;$&quot;#,##0.00\)"/>
    <numFmt numFmtId="171" formatCode="0.0000000%"/>
    <numFmt numFmtId="172" formatCode="_(* &quot;$&quot;#,##0_);_(* &quot;$&quot;\(#,##0\);_(* &quot;-&quot;??_);_(@_)"/>
    <numFmt numFmtId="173" formatCode="_(* #,##0.00_);_(* \(#,##0.00\);_(* &quot;-&quot;??_);_(@_)"/>
    <numFmt numFmtId="174" formatCode="_(* &quot;$&quot;#,##0_);_(* &quot;$&quot;\(#,##0\);_(* &quot;-&quot;_);_(@_)"/>
    <numFmt numFmtId="175" formatCode="&quot;$&quot;#,##0_);&quot;$&quot;\(#,##0\);\-_)"/>
    <numFmt numFmtId="176" formatCode="#,##0%_);\(#,##0\)%;\-_)"/>
    <numFmt numFmtId="177" formatCode="&quot;$&quot;#,##0"/>
    <numFmt numFmtId="178" formatCode="_(* #,##0_);_(* &quot;$&quot;\(#,##0\);_(* &quot;-&quot;??_);_(@_)"/>
  </numFmts>
  <fonts count="21">
    <font>
      <sz val="11.0"/>
      <color theme="1"/>
      <name val="Calibri"/>
      <scheme val="minor"/>
    </font>
    <font>
      <sz val="10.0"/>
      <color theme="1"/>
      <name val="Times New Roman"/>
    </font>
    <font>
      <b/>
      <sz val="10.0"/>
      <color theme="0"/>
      <name val="Times New Roman"/>
    </font>
    <font>
      <b/>
      <u/>
      <sz val="10.0"/>
      <color theme="1"/>
      <name val="Times New Roman"/>
    </font>
    <font>
      <b/>
      <u/>
      <sz val="10.0"/>
      <color theme="1"/>
      <name val="Times New Roman"/>
    </font>
    <font>
      <b/>
      <sz val="12.0"/>
      <color theme="1"/>
      <name val="Times New Roman"/>
    </font>
    <font>
      <b/>
      <sz val="10.0"/>
      <color theme="1"/>
      <name val="Times New Roman"/>
    </font>
    <font>
      <b/>
      <u/>
      <sz val="10.0"/>
      <color theme="1"/>
      <name val="Times New Roman"/>
    </font>
    <font>
      <i/>
      <sz val="10.0"/>
      <color theme="1"/>
      <name val="Times New Roman"/>
    </font>
    <font>
      <b/>
      <u/>
      <sz val="10.0"/>
      <color theme="1"/>
      <name val="Times New Roman"/>
    </font>
    <font>
      <b/>
      <u/>
      <sz val="10.0"/>
      <color theme="1"/>
      <name val="Times New Roman"/>
    </font>
    <font>
      <b/>
      <u/>
      <sz val="10.0"/>
      <color theme="1"/>
      <name val="Times New Roman"/>
    </font>
    <font>
      <sz val="10.0"/>
      <color theme="0"/>
      <name val="Times New Roman"/>
    </font>
    <font>
      <sz val="10.0"/>
      <color rgb="FF0000FF"/>
      <name val="Times New Roman"/>
    </font>
    <font>
      <b/>
      <sz val="10.0"/>
      <color rgb="FF0000FF"/>
      <name val="Times New Roman"/>
    </font>
    <font>
      <i/>
      <sz val="10.0"/>
      <color rgb="FF0000FF"/>
      <name val="Times New Roman"/>
    </font>
    <font>
      <sz val="11.0"/>
      <color theme="0"/>
      <name val="Calibri"/>
    </font>
    <font>
      <sz val="11.0"/>
      <color rgb="FF0000FF"/>
      <name val="Calibri"/>
    </font>
    <font>
      <sz val="10.0"/>
      <color rgb="FFC00000"/>
      <name val="Times New Roman"/>
    </font>
    <font>
      <sz val="10.0"/>
      <color rgb="FF006600"/>
      <name val="Times New Roman"/>
    </font>
    <font>
      <u/>
      <sz val="10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2F5496"/>
        <bgColor rgb="FF2F5496"/>
      </patternFill>
    </fill>
    <fill>
      <patternFill patternType="solid">
        <fgColor rgb="FFFFFFCC"/>
        <bgColor rgb="FFFFFFCC"/>
      </patternFill>
    </fill>
    <fill>
      <patternFill patternType="solid">
        <fgColor rgb="FF548135"/>
        <bgColor rgb="FF548135"/>
      </patternFill>
    </fill>
    <fill>
      <patternFill patternType="solid">
        <fgColor rgb="FFD9E2F3"/>
        <bgColor rgb="FFD9E2F3"/>
      </patternFill>
    </fill>
  </fills>
  <borders count="16">
    <border/>
    <border>
      <left/>
      <right/>
      <top/>
      <bottom/>
    </border>
    <border>
      <right style="dotted">
        <color rgb="FFC00000"/>
      </right>
    </border>
    <border>
      <bottom style="thin">
        <color rgb="FF000000"/>
      </bottom>
    </border>
    <border>
      <top style="thin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dotted">
        <color rgb="FFC00000"/>
      </right>
      <top style="thin">
        <color rgb="FF000000"/>
      </top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hair">
        <color rgb="FF000000"/>
      </left>
      <right/>
      <top style="hair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dotted">
        <color rgb="FF000000"/>
      </bottom>
    </border>
  </borders>
  <cellStyleXfs count="1">
    <xf borderId="0" fillId="0" fontId="0" numFmtId="0" applyAlignment="1" applyFont="1"/>
  </cellStyleXfs>
  <cellXfs count="16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0" fillId="0" fontId="3" numFmtId="164" xfId="0" applyAlignment="1" applyFont="1" applyNumberFormat="1">
      <alignment horizontal="center" shrinkToFit="0" wrapText="1"/>
    </xf>
    <xf borderId="1" fillId="3" fontId="1" numFmtId="0" xfId="0" applyBorder="1" applyFill="1" applyFont="1"/>
    <xf borderId="2" fillId="0" fontId="4" numFmtId="164" xfId="0" applyAlignment="1" applyBorder="1" applyFont="1" applyNumberFormat="1">
      <alignment horizontal="center" shrinkToFit="0" wrapText="1"/>
    </xf>
    <xf borderId="3" fillId="0" fontId="5" numFmtId="0" xfId="0" applyBorder="1" applyFont="1"/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3" fillId="0" fontId="1" numFmtId="0" xfId="0" applyBorder="1" applyFont="1"/>
    <xf borderId="2" fillId="0" fontId="1" numFmtId="0" xfId="0" applyAlignment="1" applyBorder="1" applyFont="1">
      <alignment horizontal="center"/>
    </xf>
    <xf borderId="1" fillId="4" fontId="6" numFmtId="0" xfId="0" applyBorder="1" applyFill="1" applyFont="1"/>
    <xf borderId="0" fillId="0" fontId="6" numFmtId="0" xfId="0" applyFont="1"/>
    <xf borderId="0" fillId="0" fontId="7" numFmtId="0" xfId="0" applyAlignment="1" applyFont="1">
      <alignment horizontal="center"/>
    </xf>
    <xf borderId="0" fillId="0" fontId="8" numFmtId="0" xfId="0" applyFont="1"/>
    <xf borderId="0" fillId="0" fontId="9" numFmtId="165" xfId="0" applyAlignment="1" applyFont="1" applyNumberFormat="1">
      <alignment horizontal="center"/>
    </xf>
    <xf borderId="0" fillId="0" fontId="1" numFmtId="166" xfId="0" applyFont="1" applyNumberFormat="1"/>
    <xf borderId="2" fillId="0" fontId="1" numFmtId="166" xfId="0" applyBorder="1" applyFont="1" applyNumberFormat="1"/>
    <xf borderId="1" fillId="3" fontId="10" numFmtId="165" xfId="0" applyAlignment="1" applyBorder="1" applyFill="1" applyFont="1" applyNumberFormat="1">
      <alignment horizontal="center"/>
    </xf>
    <xf quotePrefix="1" borderId="0" fillId="0" fontId="11" numFmtId="165" xfId="0" applyAlignment="1" applyFont="1" applyNumberFormat="1">
      <alignment horizontal="center"/>
    </xf>
    <xf borderId="0" fillId="0" fontId="1" numFmtId="167" xfId="0" applyFont="1" applyNumberFormat="1"/>
    <xf borderId="1" fillId="5" fontId="2" numFmtId="0" xfId="0" applyBorder="1" applyFill="1" applyFont="1"/>
    <xf borderId="1" fillId="5" fontId="12" numFmtId="0" xfId="0" applyBorder="1" applyFill="1" applyFont="1"/>
    <xf borderId="1" fillId="3" fontId="12" numFmtId="0" xfId="0" applyBorder="1" applyFill="1" applyFont="1"/>
    <xf borderId="0" fillId="0" fontId="13" numFmtId="0" xfId="0" applyFont="1"/>
    <xf borderId="0" fillId="0" fontId="12" numFmtId="0" xfId="0" applyFont="1"/>
    <xf borderId="0" fillId="0" fontId="13" numFmtId="168" xfId="0" applyFont="1" applyNumberFormat="1"/>
    <xf borderId="0" fillId="0" fontId="1" numFmtId="168" xfId="0" applyFont="1" applyNumberFormat="1"/>
    <xf borderId="4" fillId="0" fontId="6" numFmtId="0" xfId="0" applyBorder="1" applyFont="1"/>
    <xf borderId="4" fillId="0" fontId="6" numFmtId="166" xfId="0" applyBorder="1" applyFont="1" applyNumberFormat="1"/>
    <xf borderId="5" fillId="6" fontId="13" numFmtId="168" xfId="0" applyBorder="1" applyFill="1" applyFont="1" applyNumberFormat="1"/>
    <xf borderId="6" fillId="0" fontId="6" numFmtId="166" xfId="0" applyBorder="1" applyFont="1" applyNumberFormat="1"/>
    <xf borderId="7" fillId="6" fontId="13" numFmtId="168" xfId="0" applyBorder="1" applyFill="1" applyFont="1" applyNumberFormat="1"/>
    <xf borderId="2" fillId="0" fontId="1" numFmtId="0" xfId="0" applyBorder="1" applyFont="1"/>
    <xf borderId="8" fillId="6" fontId="13" numFmtId="168" xfId="0" applyBorder="1" applyFill="1" applyFont="1" applyNumberFormat="1"/>
    <xf borderId="9" fillId="6" fontId="13" numFmtId="168" xfId="0" applyBorder="1" applyFill="1" applyFont="1" applyNumberFormat="1"/>
    <xf borderId="4" fillId="0" fontId="2" numFmtId="0" xfId="0" applyBorder="1" applyFont="1"/>
    <xf borderId="4" fillId="0" fontId="14" numFmtId="168" xfId="0" applyBorder="1" applyFont="1" applyNumberFormat="1"/>
    <xf borderId="4" fillId="0" fontId="6" numFmtId="168" xfId="0" applyBorder="1" applyFont="1" applyNumberFormat="1"/>
    <xf borderId="10" fillId="6" fontId="13" numFmtId="168" xfId="0" applyBorder="1" applyFill="1" applyFont="1" applyNumberFormat="1"/>
    <xf borderId="0" fillId="0" fontId="1" numFmtId="169" xfId="0" applyFont="1" applyNumberFormat="1"/>
    <xf borderId="0" fillId="0" fontId="12" numFmtId="168" xfId="0" applyFont="1" applyNumberFormat="1"/>
    <xf borderId="0" fillId="0" fontId="8" numFmtId="168" xfId="0" applyFont="1" applyNumberFormat="1"/>
    <xf borderId="0" fillId="0" fontId="8" numFmtId="166" xfId="0" applyFont="1" applyNumberFormat="1"/>
    <xf borderId="1" fillId="5" fontId="13" numFmtId="0" xfId="0" applyBorder="1" applyFill="1" applyFont="1"/>
    <xf borderId="0" fillId="0" fontId="2" numFmtId="0" xfId="0" applyFont="1"/>
    <xf borderId="1" fillId="3" fontId="1" numFmtId="168" xfId="0" applyBorder="1" applyFill="1" applyFont="1" applyNumberFormat="1"/>
    <xf borderId="0" fillId="0" fontId="1" numFmtId="170" xfId="0" applyFont="1" applyNumberFormat="1"/>
    <xf borderId="0" fillId="0" fontId="1" numFmtId="9" xfId="0" applyFont="1" applyNumberFormat="1"/>
    <xf borderId="0" fillId="0" fontId="1" numFmtId="10" xfId="0" applyFont="1" applyNumberFormat="1"/>
    <xf borderId="0" fillId="0" fontId="1" numFmtId="171" xfId="0" applyFont="1" applyNumberFormat="1"/>
    <xf borderId="0" fillId="0" fontId="1" numFmtId="3" xfId="0" applyFont="1" applyNumberFormat="1"/>
    <xf borderId="0" fillId="0" fontId="8" numFmtId="0" xfId="0" applyAlignment="1" applyFont="1">
      <alignment horizontal="left"/>
    </xf>
    <xf borderId="5" fillId="6" fontId="15" numFmtId="9" xfId="0" applyBorder="1" applyFill="1" applyFont="1" applyNumberFormat="1"/>
    <xf borderId="0" fillId="0" fontId="8" numFmtId="9" xfId="0" applyFont="1" applyNumberFormat="1"/>
    <xf borderId="3" fillId="0" fontId="12" numFmtId="0" xfId="0" applyBorder="1" applyFont="1"/>
    <xf borderId="3" fillId="0" fontId="13" numFmtId="168" xfId="0" applyBorder="1" applyFont="1" applyNumberFormat="1"/>
    <xf borderId="3" fillId="0" fontId="1" numFmtId="168" xfId="0" applyBorder="1" applyFont="1" applyNumberFormat="1"/>
    <xf borderId="0" fillId="0" fontId="15" numFmtId="168" xfId="0" applyFont="1" applyNumberFormat="1"/>
    <xf borderId="0" fillId="0" fontId="13" numFmtId="166" xfId="0" applyFont="1" applyNumberFormat="1"/>
    <xf borderId="5" fillId="6" fontId="13" numFmtId="9" xfId="0" applyBorder="1" applyFill="1" applyFont="1" applyNumberFormat="1"/>
    <xf borderId="4" fillId="0" fontId="14" numFmtId="166" xfId="0" applyBorder="1" applyFont="1" applyNumberFormat="1"/>
    <xf borderId="1" fillId="7" fontId="2" numFmtId="0" xfId="0" applyBorder="1" applyFill="1" applyFont="1"/>
    <xf borderId="1" fillId="7" fontId="16" numFmtId="0" xfId="0" applyBorder="1" applyFill="1" applyFont="1"/>
    <xf borderId="1" fillId="7" fontId="17" numFmtId="0" xfId="0" applyBorder="1" applyFill="1" applyFont="1"/>
    <xf borderId="1" fillId="7" fontId="16" numFmtId="166" xfId="0" applyBorder="1" applyFill="1" applyFont="1" applyNumberFormat="1"/>
    <xf borderId="1" fillId="3" fontId="16" numFmtId="0" xfId="0" applyBorder="1" applyFill="1" applyFont="1"/>
    <xf borderId="0" fillId="0" fontId="14" numFmtId="168" xfId="0" applyAlignment="1" applyFont="1" applyNumberFormat="1">
      <alignment horizontal="center"/>
    </xf>
    <xf borderId="0" fillId="0" fontId="6" numFmtId="168" xfId="0" applyAlignment="1" applyFont="1" applyNumberFormat="1">
      <alignment horizontal="center"/>
    </xf>
    <xf borderId="1" fillId="3" fontId="6" numFmtId="168" xfId="0" applyAlignment="1" applyBorder="1" applyFill="1" applyFont="1" applyNumberFormat="1">
      <alignment horizontal="center"/>
    </xf>
    <xf borderId="11" fillId="8" fontId="1" numFmtId="0" xfId="0" applyBorder="1" applyFill="1" applyFont="1"/>
    <xf borderId="12" fillId="8" fontId="1" numFmtId="0" xfId="0" applyBorder="1" applyFill="1" applyFont="1"/>
    <xf borderId="12" fillId="8" fontId="13" numFmtId="168" xfId="0" applyAlignment="1" applyBorder="1" applyFill="1" applyFont="1" applyNumberFormat="1">
      <alignment horizontal="center"/>
    </xf>
    <xf borderId="12" fillId="8" fontId="1" numFmtId="168" xfId="0" applyAlignment="1" applyBorder="1" applyFill="1" applyFont="1" applyNumberFormat="1">
      <alignment horizontal="center"/>
    </xf>
    <xf borderId="12" fillId="8" fontId="18" numFmtId="168" xfId="0" applyAlignment="1" applyBorder="1" applyFill="1" applyFont="1" applyNumberFormat="1">
      <alignment horizontal="center"/>
    </xf>
    <xf borderId="1" fillId="3" fontId="1" numFmtId="168" xfId="0" applyAlignment="1" applyBorder="1" applyFill="1" applyFont="1" applyNumberFormat="1">
      <alignment horizontal="center"/>
    </xf>
    <xf borderId="13" fillId="8" fontId="1" numFmtId="168" xfId="0" applyAlignment="1" applyBorder="1" applyFill="1" applyFont="1" applyNumberFormat="1">
      <alignment horizontal="center"/>
    </xf>
    <xf borderId="0" fillId="0" fontId="13" numFmtId="168" xfId="0" applyAlignment="1" applyFont="1" applyNumberFormat="1">
      <alignment horizontal="center"/>
    </xf>
    <xf borderId="0" fillId="0" fontId="1" numFmtId="168" xfId="0" applyAlignment="1" applyFont="1" applyNumberFormat="1">
      <alignment horizontal="center"/>
    </xf>
    <xf borderId="12" fillId="8" fontId="19" numFmtId="168" xfId="0" applyAlignment="1" applyBorder="1" applyFill="1" applyFont="1" applyNumberFormat="1">
      <alignment horizontal="center"/>
    </xf>
    <xf borderId="13" fillId="8" fontId="19" numFmtId="168" xfId="0" applyAlignment="1" applyBorder="1" applyFill="1" applyFont="1" applyNumberFormat="1">
      <alignment horizontal="center"/>
    </xf>
    <xf borderId="0" fillId="0" fontId="13" numFmtId="0" xfId="0" applyAlignment="1" applyFont="1">
      <alignment horizontal="center"/>
    </xf>
    <xf borderId="1" fillId="3" fontId="1" numFmtId="0" xfId="0" applyAlignment="1" applyBorder="1" applyFill="1" applyFont="1">
      <alignment horizontal="center"/>
    </xf>
    <xf borderId="0" fillId="0" fontId="14" numFmtId="172" xfId="0" applyAlignment="1" applyFont="1" applyNumberFormat="1">
      <alignment horizontal="center"/>
    </xf>
    <xf borderId="0" fillId="0" fontId="6" numFmtId="172" xfId="0" applyAlignment="1" applyFont="1" applyNumberFormat="1">
      <alignment horizontal="center"/>
    </xf>
    <xf borderId="1" fillId="3" fontId="6" numFmtId="172" xfId="0" applyAlignment="1" applyBorder="1" applyFill="1" applyFont="1" applyNumberFormat="1">
      <alignment horizontal="center"/>
    </xf>
    <xf borderId="0" fillId="0" fontId="1" numFmtId="0" xfId="0" applyAlignment="1" applyFont="1">
      <alignment horizontal="left"/>
    </xf>
    <xf borderId="5" fillId="6" fontId="13" numFmtId="172" xfId="0" applyBorder="1" applyFill="1" applyFont="1" applyNumberFormat="1"/>
    <xf borderId="7" fillId="6" fontId="13" numFmtId="172" xfId="0" applyBorder="1" applyFill="1" applyFont="1" applyNumberFormat="1"/>
    <xf borderId="0" fillId="0" fontId="13" numFmtId="172" xfId="0" applyFont="1" applyNumberFormat="1"/>
    <xf borderId="1" fillId="3" fontId="13" numFmtId="172" xfId="0" applyBorder="1" applyFill="1" applyFont="1" applyNumberFormat="1"/>
    <xf borderId="0" fillId="0" fontId="13" numFmtId="165" xfId="0" applyFont="1" applyNumberFormat="1"/>
    <xf borderId="0" fillId="0" fontId="1" numFmtId="165" xfId="0" applyFont="1" applyNumberFormat="1"/>
    <xf borderId="1" fillId="3" fontId="1" numFmtId="165" xfId="0" applyBorder="1" applyFill="1" applyFont="1" applyNumberFormat="1"/>
    <xf borderId="0" fillId="0" fontId="1" numFmtId="165" xfId="0" applyAlignment="1" applyFont="1" applyNumberFormat="1">
      <alignment horizontal="center"/>
    </xf>
    <xf borderId="1" fillId="2" fontId="12" numFmtId="0" xfId="0" applyBorder="1" applyFill="1" applyFont="1"/>
    <xf borderId="1" fillId="2" fontId="13" numFmtId="0" xfId="0" applyBorder="1" applyFill="1" applyFont="1"/>
    <xf borderId="1" fillId="4" fontId="12" numFmtId="0" xfId="0" applyBorder="1" applyFill="1" applyFont="1"/>
    <xf borderId="1" fillId="4" fontId="13" numFmtId="0" xfId="0" applyBorder="1" applyFill="1" applyFont="1"/>
    <xf borderId="1" fillId="4" fontId="12" numFmtId="173" xfId="0" applyBorder="1" applyFill="1" applyFont="1" applyNumberFormat="1"/>
    <xf borderId="7" fillId="6" fontId="13" numFmtId="166" xfId="0" applyBorder="1" applyFill="1" applyFont="1" applyNumberFormat="1"/>
    <xf borderId="1" fillId="3" fontId="6" numFmtId="168" xfId="0" applyBorder="1" applyFill="1" applyFont="1" applyNumberFormat="1"/>
    <xf borderId="5" fillId="6" fontId="13" numFmtId="174" xfId="0" applyBorder="1" applyFill="1" applyFont="1" applyNumberFormat="1"/>
    <xf borderId="0" fillId="0" fontId="1" numFmtId="172" xfId="0" applyFont="1" applyNumberFormat="1"/>
    <xf borderId="7" fillId="6" fontId="13" numFmtId="174" xfId="0" applyBorder="1" applyFill="1" applyFont="1" applyNumberFormat="1"/>
    <xf borderId="1" fillId="3" fontId="1" numFmtId="174" xfId="0" applyBorder="1" applyFill="1" applyFont="1" applyNumberFormat="1"/>
    <xf borderId="1" fillId="3" fontId="8" numFmtId="0" xfId="0" applyBorder="1" applyFill="1" applyFont="1"/>
    <xf borderId="0" fillId="0" fontId="8" numFmtId="172" xfId="0" applyFont="1" applyNumberFormat="1"/>
    <xf borderId="0" fillId="0" fontId="1" numFmtId="175" xfId="0" applyFont="1" applyNumberFormat="1"/>
    <xf borderId="1" fillId="3" fontId="1" numFmtId="172" xfId="0" applyBorder="1" applyFill="1" applyFont="1" applyNumberFormat="1"/>
    <xf borderId="4" fillId="0" fontId="6" numFmtId="175" xfId="0" applyBorder="1" applyFont="1" applyNumberFormat="1"/>
    <xf borderId="4" fillId="0" fontId="6" numFmtId="172" xfId="0" applyBorder="1" applyFont="1" applyNumberFormat="1"/>
    <xf borderId="1" fillId="3" fontId="6" numFmtId="172" xfId="0" applyBorder="1" applyFill="1" applyFont="1" applyNumberFormat="1"/>
    <xf borderId="0" fillId="0" fontId="14" numFmtId="0" xfId="0" applyFont="1"/>
    <xf borderId="0" fillId="0" fontId="6" numFmtId="168" xfId="0" applyFont="1" applyNumberFormat="1"/>
    <xf borderId="3" fillId="0" fontId="2" numFmtId="0" xfId="0" applyBorder="1" applyFont="1"/>
    <xf borderId="1" fillId="3" fontId="6" numFmtId="166" xfId="0" applyBorder="1" applyFill="1" applyFont="1" applyNumberFormat="1"/>
    <xf borderId="0" fillId="0" fontId="14" numFmtId="168" xfId="0" applyFont="1" applyNumberFormat="1"/>
    <xf borderId="0" fillId="0" fontId="6" numFmtId="175" xfId="0" applyFont="1" applyNumberFormat="1"/>
    <xf borderId="0" fillId="0" fontId="6" numFmtId="0" xfId="0" applyAlignment="1" applyFont="1">
      <alignment horizontal="left"/>
    </xf>
    <xf borderId="4" fillId="0" fontId="14" numFmtId="174" xfId="0" applyBorder="1" applyFont="1" applyNumberFormat="1"/>
    <xf borderId="4" fillId="0" fontId="6" numFmtId="174" xfId="0" applyBorder="1" applyFont="1" applyNumberFormat="1"/>
    <xf borderId="4" fillId="0" fontId="14" numFmtId="174" xfId="0" applyAlignment="1" applyBorder="1" applyFont="1" applyNumberFormat="1">
      <alignment horizontal="center"/>
    </xf>
    <xf borderId="1" fillId="3" fontId="6" numFmtId="0" xfId="0" applyBorder="1" applyFill="1" applyFont="1"/>
    <xf borderId="0" fillId="0" fontId="6" numFmtId="174" xfId="0" applyFont="1" applyNumberFormat="1"/>
    <xf borderId="0" fillId="0" fontId="12" numFmtId="173" xfId="0" applyFont="1" applyNumberFormat="1"/>
    <xf borderId="10" fillId="6" fontId="13" numFmtId="174" xfId="0" applyBorder="1" applyFill="1" applyFont="1" applyNumberFormat="1"/>
    <xf borderId="0" fillId="0" fontId="1" numFmtId="174" xfId="0" applyFont="1" applyNumberFormat="1"/>
    <xf borderId="0" fillId="0" fontId="15" numFmtId="176" xfId="0" applyAlignment="1" applyFont="1" applyNumberFormat="1">
      <alignment horizontal="right"/>
    </xf>
    <xf borderId="0" fillId="0" fontId="8" numFmtId="176" xfId="0" applyAlignment="1" applyFont="1" applyNumberFormat="1">
      <alignment horizontal="right"/>
    </xf>
    <xf borderId="0" fillId="0" fontId="14" numFmtId="174" xfId="0" applyFont="1" applyNumberFormat="1"/>
    <xf borderId="10" fillId="6" fontId="13" numFmtId="172" xfId="0" applyBorder="1" applyFill="1" applyFont="1" applyNumberFormat="1"/>
    <xf borderId="4" fillId="0" fontId="14" numFmtId="172" xfId="0" applyBorder="1" applyFont="1" applyNumberFormat="1"/>
    <xf borderId="1" fillId="8" fontId="6" numFmtId="0" xfId="0" applyBorder="1" applyFill="1" applyFont="1"/>
    <xf borderId="1" fillId="8" fontId="14" numFmtId="172" xfId="0" applyBorder="1" applyFill="1" applyFont="1" applyNumberFormat="1"/>
    <xf borderId="1" fillId="8" fontId="6" numFmtId="172" xfId="0" applyBorder="1" applyFill="1" applyFont="1" applyNumberFormat="1"/>
    <xf borderId="0" fillId="0" fontId="1" numFmtId="177" xfId="0" applyFont="1" applyNumberFormat="1"/>
    <xf borderId="5" fillId="6" fontId="15" numFmtId="176" xfId="0" applyAlignment="1" applyBorder="1" applyFill="1" applyFont="1" applyNumberFormat="1">
      <alignment horizontal="right"/>
    </xf>
    <xf borderId="5" fillId="6" fontId="15" numFmtId="172" xfId="0" applyBorder="1" applyFill="1" applyFont="1" applyNumberFormat="1"/>
    <xf borderId="1" fillId="3" fontId="1" numFmtId="177" xfId="0" applyBorder="1" applyFill="1" applyFont="1" applyNumberFormat="1"/>
    <xf borderId="0" fillId="0" fontId="15" numFmtId="168" xfId="0" applyAlignment="1" applyFont="1" applyNumberFormat="1">
      <alignment horizontal="right"/>
    </xf>
    <xf borderId="0" fillId="0" fontId="8" numFmtId="168" xfId="0" applyAlignment="1" applyFont="1" applyNumberFormat="1">
      <alignment horizontal="right"/>
    </xf>
    <xf borderId="0" fillId="0" fontId="1" numFmtId="168" xfId="0" applyAlignment="1" applyFont="1" applyNumberFormat="1">
      <alignment horizontal="right"/>
    </xf>
    <xf borderId="1" fillId="3" fontId="8" numFmtId="172" xfId="0" applyBorder="1" applyFill="1" applyFont="1" applyNumberFormat="1"/>
    <xf borderId="14" fillId="8" fontId="6" numFmtId="0" xfId="0" applyBorder="1" applyFill="1" applyFont="1"/>
    <xf borderId="14" fillId="8" fontId="14" numFmtId="168" xfId="0" applyBorder="1" applyFill="1" applyFont="1" applyNumberFormat="1"/>
    <xf borderId="14" fillId="8" fontId="6" numFmtId="172" xfId="0" applyBorder="1" applyFill="1" applyFont="1" applyNumberFormat="1"/>
    <xf borderId="5" fillId="6" fontId="13" numFmtId="178" xfId="0" applyBorder="1" applyFill="1" applyFont="1" applyNumberFormat="1"/>
    <xf borderId="0" fillId="0" fontId="15" numFmtId="172" xfId="0" applyFont="1" applyNumberFormat="1"/>
    <xf borderId="0" fillId="0" fontId="15" numFmtId="166" xfId="0" applyFont="1" applyNumberFormat="1"/>
    <xf borderId="5" fillId="6" fontId="15" numFmtId="168" xfId="0" applyBorder="1" applyFill="1" applyFont="1" applyNumberFormat="1"/>
    <xf borderId="0" fillId="0" fontId="20" numFmtId="0" xfId="0" applyFont="1"/>
    <xf borderId="7" fillId="6" fontId="15" numFmtId="168" xfId="0" applyBorder="1" applyFill="1" applyFont="1" applyNumberFormat="1"/>
    <xf borderId="0" fillId="0" fontId="15" numFmtId="9" xfId="0" applyFont="1" applyNumberFormat="1"/>
    <xf borderId="14" fillId="8" fontId="14" numFmtId="172" xfId="0" applyBorder="1" applyFill="1" applyFont="1" applyNumberFormat="1"/>
    <xf borderId="3" fillId="0" fontId="1" numFmtId="172" xfId="0" applyBorder="1" applyFont="1" applyNumberFormat="1"/>
    <xf borderId="12" fillId="8" fontId="6" numFmtId="0" xfId="0" applyBorder="1" applyFill="1" applyFont="1"/>
    <xf borderId="12" fillId="8" fontId="14" numFmtId="172" xfId="0" applyBorder="1" applyFill="1" applyFont="1" applyNumberFormat="1"/>
    <xf borderId="12" fillId="8" fontId="6" numFmtId="172" xfId="0" applyBorder="1" applyFill="1" applyFont="1" applyNumberFormat="1"/>
    <xf borderId="15" fillId="8" fontId="6" numFmtId="172" xfId="0" applyBorder="1" applyFill="1" applyFont="1" applyNumberFormat="1"/>
    <xf borderId="0" fillId="0" fontId="1" numFmtId="2" xfId="0" applyFont="1" applyNumberFormat="1"/>
    <xf borderId="4" fillId="0" fontId="6" numFmtId="0" xfId="0" applyAlignment="1" applyBorder="1" applyFont="1">
      <alignment horizontal="left"/>
    </xf>
    <xf borderId="1" fillId="3" fontId="2" numFmtId="0" xfId="0" applyBorder="1" applyFill="1" applyFont="1"/>
    <xf borderId="3" fillId="0" fontId="13" numFmtId="17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-19050</xdr:colOff>
      <xdr:row>3</xdr:row>
      <xdr:rowOff>0</xdr:rowOff>
    </xdr:from>
    <xdr:ext cx="38100" cy="36652200"/>
    <xdr:grpSp>
      <xdr:nvGrpSpPr>
        <xdr:cNvPr id="2" name="Shape 2"/>
        <xdr:cNvGrpSpPr/>
      </xdr:nvGrpSpPr>
      <xdr:grpSpPr>
        <a:xfrm>
          <a:off x="5346000" y="0"/>
          <a:ext cx="0" cy="7560000"/>
          <a:chOff x="5346000" y="0"/>
          <a:chExt cx="0" cy="7560000"/>
        </a:xfrm>
      </xdr:grpSpPr>
      <xdr:cxnSp>
        <xdr:nvCxnSpPr>
          <xdr:cNvPr id="3" name="Shape 3"/>
          <xdr:cNvCxnSpPr/>
        </xdr:nvCxnSpPr>
        <xdr:spPr>
          <a:xfrm>
            <a:off x="5346000" y="0"/>
            <a:ext cx="0" cy="7560000"/>
          </a:xfrm>
          <a:prstGeom prst="straightConnector1">
            <a:avLst/>
          </a:prstGeom>
          <a:noFill/>
          <a:ln cap="flat" cmpd="sng" w="9525">
            <a:solidFill>
              <a:srgbClr val="C00000"/>
            </a:solidFill>
            <a:prstDash val="dash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34</xdr:col>
      <xdr:colOff>76200</xdr:colOff>
      <xdr:row>3</xdr:row>
      <xdr:rowOff>66675</xdr:rowOff>
    </xdr:from>
    <xdr:ext cx="38100" cy="36661725"/>
    <xdr:grpSp>
      <xdr:nvGrpSpPr>
        <xdr:cNvPr id="2" name="Shape 2"/>
        <xdr:cNvGrpSpPr/>
      </xdr:nvGrpSpPr>
      <xdr:grpSpPr>
        <a:xfrm>
          <a:off x="5346000" y="0"/>
          <a:ext cx="0" cy="7560000"/>
          <a:chOff x="5346000" y="0"/>
          <a:chExt cx="0" cy="7560000"/>
        </a:xfrm>
      </xdr:grpSpPr>
      <xdr:cxnSp>
        <xdr:nvCxnSpPr>
          <xdr:cNvPr id="4" name="Shape 4"/>
          <xdr:cNvCxnSpPr/>
        </xdr:nvCxnSpPr>
        <xdr:spPr>
          <a:xfrm>
            <a:off x="5346000" y="0"/>
            <a:ext cx="0" cy="7560000"/>
          </a:xfrm>
          <a:prstGeom prst="straightConnector1">
            <a:avLst/>
          </a:prstGeom>
          <a:noFill/>
          <a:ln cap="flat" cmpd="sng" w="9525">
            <a:solidFill>
              <a:srgbClr val="7F7F7F"/>
            </a:solidFill>
            <a:prstDash val="dash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4.43" defaultRowHeight="15.0" outlineLevelRow="1"/>
  <cols>
    <col customWidth="1" min="1" max="1" width="2.71"/>
    <col customWidth="1" min="2" max="3" width="16.71"/>
    <col customWidth="1" min="4" max="4" width="2.71"/>
    <col customWidth="1" min="5" max="9" width="9.29"/>
    <col customWidth="1" min="10" max="10" width="10.29"/>
    <col customWidth="1" min="11" max="11" width="9.29"/>
    <col customWidth="1" min="12" max="13" width="10.29"/>
    <col customWidth="1" min="14" max="14" width="9.29"/>
    <col customWidth="1" min="15" max="21" width="10.29"/>
    <col customWidth="1" min="22" max="22" width="9.29"/>
    <col customWidth="1" min="23" max="23" width="10.29"/>
    <col customWidth="1" min="24" max="25" width="9.29"/>
    <col customWidth="1" min="26" max="26" width="10.29"/>
    <col customWidth="1" min="27" max="27" width="10.71"/>
    <col customWidth="1" min="28" max="28" width="11.14"/>
    <col customWidth="1" min="29" max="29" width="10.71"/>
    <col customWidth="1" min="30" max="30" width="11.14"/>
    <col customWidth="1" min="31" max="31" width="10.71"/>
    <col customWidth="1" min="32" max="32" width="11.14"/>
    <col customWidth="1" min="33" max="33" width="10.29"/>
    <col customWidth="1" min="34" max="35" width="2.71"/>
    <col customWidth="1" min="36" max="40" width="11.14"/>
    <col customWidth="1" min="41" max="41" width="2.71"/>
    <col customWidth="1" min="42" max="42" width="9.14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"/>
      <c r="AI1" s="4"/>
      <c r="AJ1" s="1"/>
      <c r="AK1" s="1"/>
      <c r="AL1" s="1"/>
      <c r="AM1" s="1"/>
      <c r="AN1" s="1"/>
      <c r="AO1" s="1"/>
      <c r="AP1" s="1"/>
    </row>
    <row r="2" ht="12.75" customHeight="1">
      <c r="A2" s="1"/>
      <c r="B2" s="6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4"/>
      <c r="AI2" s="4"/>
      <c r="AJ2" s="9"/>
      <c r="AK2" s="9"/>
      <c r="AL2" s="9"/>
      <c r="AM2" s="9"/>
      <c r="AN2" s="9"/>
      <c r="AO2" s="1"/>
      <c r="AP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"/>
      <c r="AI3" s="4"/>
      <c r="AJ3" s="1"/>
      <c r="AK3" s="1"/>
      <c r="AL3" s="1"/>
      <c r="AM3" s="1"/>
      <c r="AN3" s="1"/>
      <c r="AO3" s="1"/>
      <c r="AP3" s="1"/>
    </row>
    <row r="4" ht="12.75" customHeight="1">
      <c r="A4" s="1"/>
      <c r="B4" s="1"/>
      <c r="C4" s="1"/>
      <c r="D4" s="1"/>
      <c r="E4" s="13" t="s">
        <v>18</v>
      </c>
      <c r="J4" s="13" t="s">
        <v>19</v>
      </c>
      <c r="AH4" s="4"/>
      <c r="AI4" s="4"/>
      <c r="AJ4" s="13" t="s">
        <v>20</v>
      </c>
      <c r="AO4" s="1"/>
      <c r="AP4" s="1"/>
    </row>
    <row r="5" ht="12.75" customHeight="1">
      <c r="A5" s="1"/>
      <c r="B5" s="14"/>
      <c r="C5" s="1"/>
      <c r="D5" s="1"/>
      <c r="E5" s="15">
        <v>44804.0</v>
      </c>
      <c r="F5" s="15">
        <f t="shared" ref="F5:AG5" si="1">EOMONTH(E5,1)</f>
        <v>44834</v>
      </c>
      <c r="G5" s="15">
        <f t="shared" si="1"/>
        <v>44865</v>
      </c>
      <c r="H5" s="15">
        <f t="shared" si="1"/>
        <v>44895</v>
      </c>
      <c r="I5" s="15">
        <f t="shared" si="1"/>
        <v>44926</v>
      </c>
      <c r="J5" s="15">
        <f t="shared" si="1"/>
        <v>44957</v>
      </c>
      <c r="K5" s="15">
        <f t="shared" si="1"/>
        <v>44985</v>
      </c>
      <c r="L5" s="15">
        <f t="shared" si="1"/>
        <v>45016</v>
      </c>
      <c r="M5" s="15">
        <f t="shared" si="1"/>
        <v>45046</v>
      </c>
      <c r="N5" s="15">
        <f t="shared" si="1"/>
        <v>45077</v>
      </c>
      <c r="O5" s="15">
        <f t="shared" si="1"/>
        <v>45107</v>
      </c>
      <c r="P5" s="15">
        <f t="shared" si="1"/>
        <v>45138</v>
      </c>
      <c r="Q5" s="15">
        <f t="shared" si="1"/>
        <v>45169</v>
      </c>
      <c r="R5" s="15">
        <f t="shared" si="1"/>
        <v>45199</v>
      </c>
      <c r="S5" s="15">
        <f t="shared" si="1"/>
        <v>45230</v>
      </c>
      <c r="T5" s="15">
        <f t="shared" si="1"/>
        <v>45260</v>
      </c>
      <c r="U5" s="15">
        <f t="shared" si="1"/>
        <v>45291</v>
      </c>
      <c r="V5" s="15">
        <f t="shared" si="1"/>
        <v>45322</v>
      </c>
      <c r="W5" s="15">
        <f t="shared" si="1"/>
        <v>45351</v>
      </c>
      <c r="X5" s="15">
        <f t="shared" si="1"/>
        <v>45382</v>
      </c>
      <c r="Y5" s="15">
        <f t="shared" si="1"/>
        <v>45412</v>
      </c>
      <c r="Z5" s="15">
        <f t="shared" si="1"/>
        <v>45443</v>
      </c>
      <c r="AA5" s="15">
        <f t="shared" si="1"/>
        <v>45473</v>
      </c>
      <c r="AB5" s="15">
        <f t="shared" si="1"/>
        <v>45504</v>
      </c>
      <c r="AC5" s="15">
        <f t="shared" si="1"/>
        <v>45535</v>
      </c>
      <c r="AD5" s="15">
        <f t="shared" si="1"/>
        <v>45565</v>
      </c>
      <c r="AE5" s="15">
        <f t="shared" si="1"/>
        <v>45596</v>
      </c>
      <c r="AF5" s="15">
        <f t="shared" si="1"/>
        <v>45626</v>
      </c>
      <c r="AG5" s="15">
        <f t="shared" si="1"/>
        <v>45657</v>
      </c>
      <c r="AH5" s="18"/>
      <c r="AI5" s="4"/>
      <c r="AJ5" s="19" t="s">
        <v>22</v>
      </c>
      <c r="AK5" s="19" t="s">
        <v>23</v>
      </c>
      <c r="AL5" s="19" t="s">
        <v>24</v>
      </c>
      <c r="AM5" s="19" t="s">
        <v>25</v>
      </c>
      <c r="AN5" s="19" t="s">
        <v>26</v>
      </c>
      <c r="AO5" s="1"/>
      <c r="AP5" s="1"/>
    </row>
    <row r="6" ht="4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4"/>
      <c r="AI6" s="4"/>
      <c r="AJ6" s="1"/>
      <c r="AK6" s="1"/>
      <c r="AL6" s="1"/>
      <c r="AM6" s="1"/>
      <c r="AN6" s="1"/>
      <c r="AO6" s="1"/>
      <c r="AP6" s="1"/>
    </row>
    <row r="7" ht="12.75" customHeight="1">
      <c r="A7" s="1"/>
      <c r="B7" s="21" t="s">
        <v>27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3"/>
      <c r="AI7" s="23"/>
      <c r="AJ7" s="22"/>
      <c r="AK7" s="22"/>
      <c r="AL7" s="22"/>
      <c r="AM7" s="22"/>
      <c r="AN7" s="22"/>
      <c r="AO7" s="1"/>
      <c r="AP7" s="1"/>
    </row>
    <row r="8" ht="12.75" customHeight="1">
      <c r="A8" s="1"/>
      <c r="B8" s="1"/>
      <c r="C8" s="1"/>
      <c r="D8" s="1"/>
      <c r="E8" s="24"/>
      <c r="F8" s="24"/>
      <c r="G8" s="24"/>
      <c r="H8" s="24"/>
      <c r="I8" s="2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4"/>
      <c r="AI8" s="4"/>
      <c r="AJ8" s="1"/>
      <c r="AK8" s="1"/>
      <c r="AL8" s="1"/>
      <c r="AM8" s="1"/>
      <c r="AN8" s="1"/>
      <c r="AO8" s="1"/>
      <c r="AP8" s="1"/>
    </row>
    <row r="9" ht="12.75" customHeight="1">
      <c r="A9" s="1"/>
      <c r="B9" s="1" t="s">
        <v>29</v>
      </c>
      <c r="C9" s="25"/>
      <c r="D9" s="25"/>
      <c r="E9" s="26">
        <v>0.0</v>
      </c>
      <c r="F9" s="26">
        <f t="shared" ref="F9:AG9" si="2">E12</f>
        <v>0</v>
      </c>
      <c r="G9" s="26">
        <f t="shared" si="2"/>
        <v>0</v>
      </c>
      <c r="H9" s="26">
        <f t="shared" si="2"/>
        <v>0</v>
      </c>
      <c r="I9" s="26">
        <f t="shared" si="2"/>
        <v>0</v>
      </c>
      <c r="J9" s="27">
        <f t="shared" si="2"/>
        <v>0</v>
      </c>
      <c r="K9" s="27">
        <f t="shared" si="2"/>
        <v>3</v>
      </c>
      <c r="L9" s="27">
        <f t="shared" si="2"/>
        <v>3</v>
      </c>
      <c r="M9" s="27">
        <f t="shared" si="2"/>
        <v>3</v>
      </c>
      <c r="N9" s="27">
        <f t="shared" si="2"/>
        <v>3</v>
      </c>
      <c r="O9" s="27">
        <f t="shared" si="2"/>
        <v>3</v>
      </c>
      <c r="P9" s="27">
        <f t="shared" si="2"/>
        <v>5</v>
      </c>
      <c r="Q9" s="27">
        <f t="shared" si="2"/>
        <v>5</v>
      </c>
      <c r="R9" s="27">
        <f t="shared" si="2"/>
        <v>5</v>
      </c>
      <c r="S9" s="27">
        <f t="shared" si="2"/>
        <v>5</v>
      </c>
      <c r="T9" s="27">
        <f t="shared" si="2"/>
        <v>6</v>
      </c>
      <c r="U9" s="27">
        <f t="shared" si="2"/>
        <v>6</v>
      </c>
      <c r="V9" s="27">
        <f t="shared" si="2"/>
        <v>6</v>
      </c>
      <c r="W9" s="27">
        <f t="shared" si="2"/>
        <v>8</v>
      </c>
      <c r="X9" s="27">
        <f t="shared" si="2"/>
        <v>8</v>
      </c>
      <c r="Y9" s="27">
        <f t="shared" si="2"/>
        <v>8</v>
      </c>
      <c r="Z9" s="27">
        <f t="shared" si="2"/>
        <v>10</v>
      </c>
      <c r="AA9" s="27">
        <f t="shared" si="2"/>
        <v>10</v>
      </c>
      <c r="AB9" s="27">
        <f t="shared" si="2"/>
        <v>10</v>
      </c>
      <c r="AC9" s="27">
        <f t="shared" si="2"/>
        <v>12</v>
      </c>
      <c r="AD9" s="27">
        <f t="shared" si="2"/>
        <v>12</v>
      </c>
      <c r="AE9" s="27">
        <f t="shared" si="2"/>
        <v>12</v>
      </c>
      <c r="AF9" s="27">
        <f t="shared" si="2"/>
        <v>14</v>
      </c>
      <c r="AG9" s="27">
        <f t="shared" si="2"/>
        <v>14</v>
      </c>
      <c r="AH9" s="23"/>
      <c r="AI9" s="23"/>
      <c r="AJ9" s="27">
        <f>J9</f>
        <v>0</v>
      </c>
      <c r="AK9" s="27">
        <f t="shared" ref="AK9:AN9" si="3">AJ12</f>
        <v>6</v>
      </c>
      <c r="AL9" s="27">
        <f t="shared" si="3"/>
        <v>14</v>
      </c>
      <c r="AM9" s="27">
        <f t="shared" si="3"/>
        <v>24</v>
      </c>
      <c r="AN9" s="27">
        <f t="shared" si="3"/>
        <v>38</v>
      </c>
      <c r="AO9" s="1"/>
      <c r="AP9" s="1"/>
    </row>
    <row r="10" ht="12.75" customHeight="1">
      <c r="A10" s="1"/>
      <c r="B10" s="1" t="s">
        <v>30</v>
      </c>
      <c r="C10" s="25"/>
      <c r="D10" s="25"/>
      <c r="E10" s="26">
        <v>0.0</v>
      </c>
      <c r="F10" s="26">
        <v>0.0</v>
      </c>
      <c r="G10" s="26">
        <v>0.0</v>
      </c>
      <c r="H10" s="26">
        <v>0.0</v>
      </c>
      <c r="I10" s="26">
        <v>0.0</v>
      </c>
      <c r="J10" s="30">
        <v>3.0</v>
      </c>
      <c r="K10" s="30">
        <v>0.0</v>
      </c>
      <c r="L10" s="30">
        <v>0.0</v>
      </c>
      <c r="M10" s="30">
        <v>0.0</v>
      </c>
      <c r="N10" s="30">
        <v>0.0</v>
      </c>
      <c r="O10" s="30">
        <v>3.0</v>
      </c>
      <c r="P10" s="30">
        <v>0.0</v>
      </c>
      <c r="Q10" s="30">
        <v>0.0</v>
      </c>
      <c r="R10" s="30">
        <v>0.0</v>
      </c>
      <c r="S10" s="30">
        <v>1.0</v>
      </c>
      <c r="T10" s="30">
        <v>0.0</v>
      </c>
      <c r="U10" s="30">
        <v>0.0</v>
      </c>
      <c r="V10" s="30">
        <v>3.0</v>
      </c>
      <c r="W10" s="30">
        <v>0.0</v>
      </c>
      <c r="X10" s="30">
        <v>0.0</v>
      </c>
      <c r="Y10" s="30">
        <v>2.0</v>
      </c>
      <c r="Z10" s="30">
        <v>0.0</v>
      </c>
      <c r="AA10" s="30">
        <v>0.0</v>
      </c>
      <c r="AB10" s="30">
        <v>3.0</v>
      </c>
      <c r="AC10" s="30">
        <v>0.0</v>
      </c>
      <c r="AD10" s="30">
        <v>0.0</v>
      </c>
      <c r="AE10" s="30">
        <v>2.0</v>
      </c>
      <c r="AF10" s="30">
        <v>0.0</v>
      </c>
      <c r="AG10" s="32">
        <v>0.0</v>
      </c>
      <c r="AH10" s="23"/>
      <c r="AI10" s="23"/>
      <c r="AJ10" s="16">
        <f t="shared" ref="AJ10:AJ11" si="4">SUM(J10:U10)</f>
        <v>7</v>
      </c>
      <c r="AK10" s="16">
        <f t="shared" ref="AK10:AK11" si="5">SUM(V10:AG10)</f>
        <v>10</v>
      </c>
      <c r="AL10" s="30">
        <v>12.0</v>
      </c>
      <c r="AM10" s="30">
        <v>18.0</v>
      </c>
      <c r="AN10" s="30">
        <v>30.0</v>
      </c>
      <c r="AO10" s="1"/>
      <c r="AP10" s="1"/>
    </row>
    <row r="11" ht="12.75" customHeight="1">
      <c r="A11" s="1"/>
      <c r="B11" s="1" t="s">
        <v>32</v>
      </c>
      <c r="C11" s="25"/>
      <c r="D11" s="25"/>
      <c r="E11" s="26">
        <v>0.0</v>
      </c>
      <c r="F11" s="26">
        <v>0.0</v>
      </c>
      <c r="G11" s="26">
        <v>0.0</v>
      </c>
      <c r="H11" s="26">
        <v>0.0</v>
      </c>
      <c r="I11" s="26">
        <v>0.0</v>
      </c>
      <c r="J11" s="34">
        <v>0.0</v>
      </c>
      <c r="K11" s="34">
        <v>0.0</v>
      </c>
      <c r="L11" s="34">
        <v>0.0</v>
      </c>
      <c r="M11" s="34">
        <v>0.0</v>
      </c>
      <c r="N11" s="34">
        <v>0.0</v>
      </c>
      <c r="O11" s="34">
        <v>1.0</v>
      </c>
      <c r="P11" s="34">
        <v>0.0</v>
      </c>
      <c r="Q11" s="34">
        <v>0.0</v>
      </c>
      <c r="R11" s="34">
        <v>0.0</v>
      </c>
      <c r="S11" s="34">
        <v>0.0</v>
      </c>
      <c r="T11" s="34">
        <v>0.0</v>
      </c>
      <c r="U11" s="34">
        <v>0.0</v>
      </c>
      <c r="V11" s="34">
        <v>1.0</v>
      </c>
      <c r="W11" s="34">
        <v>0.0</v>
      </c>
      <c r="X11" s="34">
        <v>0.0</v>
      </c>
      <c r="Y11" s="34">
        <v>0.0</v>
      </c>
      <c r="Z11" s="34">
        <v>0.0</v>
      </c>
      <c r="AA11" s="34">
        <v>0.0</v>
      </c>
      <c r="AB11" s="34">
        <v>1.0</v>
      </c>
      <c r="AC11" s="34">
        <v>0.0</v>
      </c>
      <c r="AD11" s="34">
        <v>0.0</v>
      </c>
      <c r="AE11" s="34">
        <v>0.0</v>
      </c>
      <c r="AF11" s="34">
        <v>0.0</v>
      </c>
      <c r="AG11" s="35">
        <v>0.0</v>
      </c>
      <c r="AH11" s="23"/>
      <c r="AI11" s="23"/>
      <c r="AJ11" s="16">
        <f t="shared" si="4"/>
        <v>1</v>
      </c>
      <c r="AK11" s="16">
        <f t="shared" si="5"/>
        <v>2</v>
      </c>
      <c r="AL11" s="30">
        <v>2.0</v>
      </c>
      <c r="AM11" s="30">
        <v>4.0</v>
      </c>
      <c r="AN11" s="30">
        <v>4.0</v>
      </c>
      <c r="AO11" s="1"/>
      <c r="AP11" s="1"/>
    </row>
    <row r="12" ht="12.75" customHeight="1">
      <c r="A12" s="1"/>
      <c r="B12" s="28" t="s">
        <v>33</v>
      </c>
      <c r="C12" s="36"/>
      <c r="D12" s="36"/>
      <c r="E12" s="37">
        <f t="shared" ref="E12:AG12" si="6">E9+E10-E11</f>
        <v>0</v>
      </c>
      <c r="F12" s="37">
        <f t="shared" si="6"/>
        <v>0</v>
      </c>
      <c r="G12" s="37">
        <f t="shared" si="6"/>
        <v>0</v>
      </c>
      <c r="H12" s="37">
        <f t="shared" si="6"/>
        <v>0</v>
      </c>
      <c r="I12" s="37">
        <f t="shared" si="6"/>
        <v>0</v>
      </c>
      <c r="J12" s="38">
        <f t="shared" si="6"/>
        <v>3</v>
      </c>
      <c r="K12" s="38">
        <f t="shared" si="6"/>
        <v>3</v>
      </c>
      <c r="L12" s="38">
        <f t="shared" si="6"/>
        <v>3</v>
      </c>
      <c r="M12" s="38">
        <f t="shared" si="6"/>
        <v>3</v>
      </c>
      <c r="N12" s="38">
        <f t="shared" si="6"/>
        <v>3</v>
      </c>
      <c r="O12" s="38">
        <f t="shared" si="6"/>
        <v>5</v>
      </c>
      <c r="P12" s="38">
        <f t="shared" si="6"/>
        <v>5</v>
      </c>
      <c r="Q12" s="38">
        <f t="shared" si="6"/>
        <v>5</v>
      </c>
      <c r="R12" s="38">
        <f t="shared" si="6"/>
        <v>5</v>
      </c>
      <c r="S12" s="38">
        <f t="shared" si="6"/>
        <v>6</v>
      </c>
      <c r="T12" s="38">
        <f t="shared" si="6"/>
        <v>6</v>
      </c>
      <c r="U12" s="38">
        <f t="shared" si="6"/>
        <v>6</v>
      </c>
      <c r="V12" s="38">
        <f t="shared" si="6"/>
        <v>8</v>
      </c>
      <c r="W12" s="38">
        <f t="shared" si="6"/>
        <v>8</v>
      </c>
      <c r="X12" s="38">
        <f t="shared" si="6"/>
        <v>8</v>
      </c>
      <c r="Y12" s="38">
        <f t="shared" si="6"/>
        <v>10</v>
      </c>
      <c r="Z12" s="38">
        <f t="shared" si="6"/>
        <v>10</v>
      </c>
      <c r="AA12" s="38">
        <f t="shared" si="6"/>
        <v>10</v>
      </c>
      <c r="AB12" s="38">
        <f t="shared" si="6"/>
        <v>12</v>
      </c>
      <c r="AC12" s="38">
        <f t="shared" si="6"/>
        <v>12</v>
      </c>
      <c r="AD12" s="38">
        <f t="shared" si="6"/>
        <v>12</v>
      </c>
      <c r="AE12" s="38">
        <f t="shared" si="6"/>
        <v>14</v>
      </c>
      <c r="AF12" s="38">
        <f t="shared" si="6"/>
        <v>14</v>
      </c>
      <c r="AG12" s="38">
        <f t="shared" si="6"/>
        <v>14</v>
      </c>
      <c r="AH12" s="23"/>
      <c r="AI12" s="23"/>
      <c r="AJ12" s="38">
        <f t="shared" ref="AJ12:AN12" si="7">AJ9+AJ10-AJ11</f>
        <v>6</v>
      </c>
      <c r="AK12" s="38">
        <f t="shared" si="7"/>
        <v>14</v>
      </c>
      <c r="AL12" s="38">
        <f t="shared" si="7"/>
        <v>24</v>
      </c>
      <c r="AM12" s="38">
        <f t="shared" si="7"/>
        <v>38</v>
      </c>
      <c r="AN12" s="38">
        <f t="shared" si="7"/>
        <v>64</v>
      </c>
      <c r="AO12" s="1"/>
      <c r="AP12" s="1"/>
    </row>
    <row r="13" ht="12.75" customHeight="1">
      <c r="A13" s="1"/>
      <c r="B13" s="1"/>
      <c r="C13" s="25"/>
      <c r="D13" s="25"/>
      <c r="E13" s="24"/>
      <c r="F13" s="24"/>
      <c r="G13" s="24"/>
      <c r="H13" s="24"/>
      <c r="I13" s="24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3"/>
      <c r="AI13" s="23"/>
      <c r="AJ13" s="25"/>
      <c r="AK13" s="25"/>
      <c r="AL13" s="25"/>
      <c r="AM13" s="25"/>
      <c r="AN13" s="25"/>
      <c r="AO13" s="1"/>
      <c r="AP13" s="1"/>
    </row>
    <row r="14" ht="12.75" customHeight="1">
      <c r="A14" s="1"/>
      <c r="B14" s="1" t="s">
        <v>35</v>
      </c>
      <c r="C14" s="25"/>
      <c r="D14" s="25"/>
      <c r="E14" s="26">
        <v>0.0</v>
      </c>
      <c r="F14" s="26">
        <v>0.0</v>
      </c>
      <c r="G14" s="26">
        <v>0.0</v>
      </c>
      <c r="H14" s="26">
        <v>0.0</v>
      </c>
      <c r="I14" s="26">
        <v>0.0</v>
      </c>
      <c r="J14" s="27">
        <f t="shared" ref="J14:AG14" si="8">MAX(J12-SUM(H10:J10),0)</f>
        <v>0</v>
      </c>
      <c r="K14" s="27">
        <f t="shared" si="8"/>
        <v>0</v>
      </c>
      <c r="L14" s="27">
        <f t="shared" si="8"/>
        <v>0</v>
      </c>
      <c r="M14" s="27">
        <f t="shared" si="8"/>
        <v>3</v>
      </c>
      <c r="N14" s="27">
        <f t="shared" si="8"/>
        <v>3</v>
      </c>
      <c r="O14" s="27">
        <f t="shared" si="8"/>
        <v>2</v>
      </c>
      <c r="P14" s="27">
        <f t="shared" si="8"/>
        <v>2</v>
      </c>
      <c r="Q14" s="27">
        <f t="shared" si="8"/>
        <v>2</v>
      </c>
      <c r="R14" s="27">
        <f t="shared" si="8"/>
        <v>5</v>
      </c>
      <c r="S14" s="27">
        <f t="shared" si="8"/>
        <v>5</v>
      </c>
      <c r="T14" s="27">
        <f t="shared" si="8"/>
        <v>5</v>
      </c>
      <c r="U14" s="27">
        <f t="shared" si="8"/>
        <v>5</v>
      </c>
      <c r="V14" s="27">
        <f t="shared" si="8"/>
        <v>5</v>
      </c>
      <c r="W14" s="27">
        <f t="shared" si="8"/>
        <v>5</v>
      </c>
      <c r="X14" s="27">
        <f t="shared" si="8"/>
        <v>5</v>
      </c>
      <c r="Y14" s="27">
        <f t="shared" si="8"/>
        <v>8</v>
      </c>
      <c r="Z14" s="27">
        <f t="shared" si="8"/>
        <v>8</v>
      </c>
      <c r="AA14" s="27">
        <f t="shared" si="8"/>
        <v>8</v>
      </c>
      <c r="AB14" s="27">
        <f t="shared" si="8"/>
        <v>9</v>
      </c>
      <c r="AC14" s="27">
        <f t="shared" si="8"/>
        <v>9</v>
      </c>
      <c r="AD14" s="27">
        <f t="shared" si="8"/>
        <v>9</v>
      </c>
      <c r="AE14" s="27">
        <f t="shared" si="8"/>
        <v>12</v>
      </c>
      <c r="AF14" s="27">
        <f t="shared" si="8"/>
        <v>12</v>
      </c>
      <c r="AG14" s="27">
        <f t="shared" si="8"/>
        <v>12</v>
      </c>
      <c r="AH14" s="23"/>
      <c r="AI14" s="23"/>
      <c r="AJ14" s="27">
        <f>AVERAGE(J14:U14)</f>
        <v>2.666666667</v>
      </c>
      <c r="AK14" s="27">
        <f>AVERAGE(V14:AG14)</f>
        <v>8.5</v>
      </c>
      <c r="AL14" s="16">
        <f t="shared" ref="AL14:AN14" si="9">MAX(AL9+(AL10*1/4*75%+AL10*1/4*50%+AL10*1/4*25%+AL10*1/4*0%)-(AL11/2),0)</f>
        <v>17.5</v>
      </c>
      <c r="AM14" s="16">
        <f t="shared" si="9"/>
        <v>28.75</v>
      </c>
      <c r="AN14" s="16">
        <f t="shared" si="9"/>
        <v>47.25</v>
      </c>
      <c r="AO14" s="1"/>
      <c r="AP14" s="1"/>
    </row>
    <row r="15" ht="12.75" customHeight="1">
      <c r="A15" s="1"/>
      <c r="B15" s="1" t="s">
        <v>36</v>
      </c>
      <c r="C15" s="25"/>
      <c r="D15" s="25"/>
      <c r="E15" s="26">
        <v>0.0</v>
      </c>
      <c r="F15" s="26">
        <v>0.0</v>
      </c>
      <c r="G15" s="26">
        <v>0.0</v>
      </c>
      <c r="H15" s="26">
        <v>0.0</v>
      </c>
      <c r="I15" s="26">
        <v>0.0</v>
      </c>
      <c r="J15" s="34">
        <v>100.0</v>
      </c>
      <c r="K15" s="27">
        <f t="shared" ref="K15:U15" si="10">J15</f>
        <v>100</v>
      </c>
      <c r="L15" s="27">
        <f t="shared" si="10"/>
        <v>100</v>
      </c>
      <c r="M15" s="27">
        <f t="shared" si="10"/>
        <v>100</v>
      </c>
      <c r="N15" s="27">
        <f t="shared" si="10"/>
        <v>100</v>
      </c>
      <c r="O15" s="27">
        <f t="shared" si="10"/>
        <v>100</v>
      </c>
      <c r="P15" s="27">
        <f t="shared" si="10"/>
        <v>100</v>
      </c>
      <c r="Q15" s="27">
        <f t="shared" si="10"/>
        <v>100</v>
      </c>
      <c r="R15" s="27">
        <f t="shared" si="10"/>
        <v>100</v>
      </c>
      <c r="S15" s="27">
        <f t="shared" si="10"/>
        <v>100</v>
      </c>
      <c r="T15" s="27">
        <f t="shared" si="10"/>
        <v>100</v>
      </c>
      <c r="U15" s="27">
        <f t="shared" si="10"/>
        <v>100</v>
      </c>
      <c r="V15" s="34">
        <v>100.0</v>
      </c>
      <c r="W15" s="27">
        <f t="shared" ref="W15:AG15" si="11">V15</f>
        <v>100</v>
      </c>
      <c r="X15" s="27">
        <f t="shared" si="11"/>
        <v>100</v>
      </c>
      <c r="Y15" s="27">
        <f t="shared" si="11"/>
        <v>100</v>
      </c>
      <c r="Z15" s="27">
        <f t="shared" si="11"/>
        <v>100</v>
      </c>
      <c r="AA15" s="27">
        <f t="shared" si="11"/>
        <v>100</v>
      </c>
      <c r="AB15" s="27">
        <f t="shared" si="11"/>
        <v>100</v>
      </c>
      <c r="AC15" s="27">
        <f t="shared" si="11"/>
        <v>100</v>
      </c>
      <c r="AD15" s="27">
        <f t="shared" si="11"/>
        <v>100</v>
      </c>
      <c r="AE15" s="27">
        <f t="shared" si="11"/>
        <v>100</v>
      </c>
      <c r="AF15" s="27">
        <f t="shared" si="11"/>
        <v>100</v>
      </c>
      <c r="AG15" s="27">
        <f t="shared" si="11"/>
        <v>100</v>
      </c>
      <c r="AH15" s="23"/>
      <c r="AI15" s="23"/>
      <c r="AJ15" s="27">
        <f t="shared" ref="AJ15:AJ16" si="14">SUM(J15:U15)</f>
        <v>1200</v>
      </c>
      <c r="AK15" s="27">
        <f t="shared" ref="AK15:AK16" si="15">SUM(V15:AG15)</f>
        <v>1200</v>
      </c>
      <c r="AL15" s="39">
        <f t="shared" ref="AL15:AN15" si="12">AK15*1.3</f>
        <v>1560</v>
      </c>
      <c r="AM15" s="39">
        <f t="shared" si="12"/>
        <v>2028</v>
      </c>
      <c r="AN15" s="39">
        <f t="shared" si="12"/>
        <v>2636.4</v>
      </c>
      <c r="AO15" s="1"/>
      <c r="AP15" s="1"/>
    </row>
    <row r="16" ht="12.75" customHeight="1">
      <c r="A16" s="1"/>
      <c r="B16" s="28" t="s">
        <v>38</v>
      </c>
      <c r="C16" s="36"/>
      <c r="D16" s="36"/>
      <c r="E16" s="37">
        <f t="shared" ref="E16:AG16" si="13">E14*E15</f>
        <v>0</v>
      </c>
      <c r="F16" s="37">
        <f t="shared" si="13"/>
        <v>0</v>
      </c>
      <c r="G16" s="37">
        <f t="shared" si="13"/>
        <v>0</v>
      </c>
      <c r="H16" s="37">
        <f t="shared" si="13"/>
        <v>0</v>
      </c>
      <c r="I16" s="37">
        <f t="shared" si="13"/>
        <v>0</v>
      </c>
      <c r="J16" s="38">
        <f t="shared" si="13"/>
        <v>0</v>
      </c>
      <c r="K16" s="38">
        <f t="shared" si="13"/>
        <v>0</v>
      </c>
      <c r="L16" s="38">
        <f t="shared" si="13"/>
        <v>0</v>
      </c>
      <c r="M16" s="38">
        <f t="shared" si="13"/>
        <v>300</v>
      </c>
      <c r="N16" s="38">
        <f t="shared" si="13"/>
        <v>300</v>
      </c>
      <c r="O16" s="38">
        <f t="shared" si="13"/>
        <v>200</v>
      </c>
      <c r="P16" s="38">
        <f t="shared" si="13"/>
        <v>200</v>
      </c>
      <c r="Q16" s="38">
        <f t="shared" si="13"/>
        <v>200</v>
      </c>
      <c r="R16" s="38">
        <f t="shared" si="13"/>
        <v>500</v>
      </c>
      <c r="S16" s="38">
        <f t="shared" si="13"/>
        <v>500</v>
      </c>
      <c r="T16" s="38">
        <f t="shared" si="13"/>
        <v>500</v>
      </c>
      <c r="U16" s="38">
        <f t="shared" si="13"/>
        <v>500</v>
      </c>
      <c r="V16" s="38">
        <f t="shared" si="13"/>
        <v>500</v>
      </c>
      <c r="W16" s="38">
        <f t="shared" si="13"/>
        <v>500</v>
      </c>
      <c r="X16" s="38">
        <f t="shared" si="13"/>
        <v>500</v>
      </c>
      <c r="Y16" s="38">
        <f t="shared" si="13"/>
        <v>800</v>
      </c>
      <c r="Z16" s="38">
        <f t="shared" si="13"/>
        <v>800</v>
      </c>
      <c r="AA16" s="38">
        <f t="shared" si="13"/>
        <v>800</v>
      </c>
      <c r="AB16" s="38">
        <f t="shared" si="13"/>
        <v>900</v>
      </c>
      <c r="AC16" s="38">
        <f t="shared" si="13"/>
        <v>900</v>
      </c>
      <c r="AD16" s="38">
        <f t="shared" si="13"/>
        <v>900</v>
      </c>
      <c r="AE16" s="38">
        <f t="shared" si="13"/>
        <v>1200</v>
      </c>
      <c r="AF16" s="38">
        <f t="shared" si="13"/>
        <v>1200</v>
      </c>
      <c r="AG16" s="38">
        <f t="shared" si="13"/>
        <v>1200</v>
      </c>
      <c r="AH16" s="23"/>
      <c r="AI16" s="23"/>
      <c r="AJ16" s="38">
        <f t="shared" si="14"/>
        <v>3200</v>
      </c>
      <c r="AK16" s="38">
        <f t="shared" si="15"/>
        <v>10200</v>
      </c>
      <c r="AL16" s="38">
        <f t="shared" ref="AL16:AN16" si="16">AL14*AL15</f>
        <v>27300</v>
      </c>
      <c r="AM16" s="38">
        <f t="shared" si="16"/>
        <v>58305</v>
      </c>
      <c r="AN16" s="38">
        <f t="shared" si="16"/>
        <v>124569.9</v>
      </c>
      <c r="AO16" s="1"/>
      <c r="AP16" s="1"/>
    </row>
    <row r="17" ht="12.75" customHeight="1">
      <c r="A17" s="1"/>
      <c r="B17" s="14"/>
      <c r="C17" s="25"/>
      <c r="D17" s="25"/>
      <c r="E17" s="24"/>
      <c r="F17" s="24"/>
      <c r="G17" s="24"/>
      <c r="H17" s="24"/>
      <c r="I17" s="24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23"/>
      <c r="AI17" s="23"/>
      <c r="AJ17" s="42"/>
      <c r="AK17" s="42"/>
      <c r="AL17" s="43"/>
      <c r="AM17" s="43"/>
      <c r="AN17" s="43"/>
      <c r="AO17" s="1"/>
      <c r="AP17" s="1"/>
    </row>
    <row r="18" ht="12.75" customHeight="1">
      <c r="A18" s="1"/>
      <c r="B18" s="21" t="s">
        <v>39</v>
      </c>
      <c r="C18" s="22"/>
      <c r="D18" s="22"/>
      <c r="E18" s="44"/>
      <c r="F18" s="44"/>
      <c r="G18" s="44"/>
      <c r="H18" s="44"/>
      <c r="I18" s="44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3"/>
      <c r="AI18" s="23"/>
      <c r="AJ18" s="22"/>
      <c r="AK18" s="22"/>
      <c r="AL18" s="22"/>
      <c r="AM18" s="22"/>
      <c r="AN18" s="22"/>
      <c r="AO18" s="1"/>
      <c r="AP18" s="1"/>
    </row>
    <row r="19" ht="12.75" customHeight="1">
      <c r="A19" s="1"/>
      <c r="B19" s="45"/>
      <c r="C19" s="25"/>
      <c r="D19" s="25"/>
      <c r="E19" s="24"/>
      <c r="F19" s="24"/>
      <c r="G19" s="24"/>
      <c r="H19" s="24"/>
      <c r="I19" s="24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3"/>
      <c r="AI19" s="23"/>
      <c r="AJ19" s="25"/>
      <c r="AK19" s="25"/>
      <c r="AL19" s="25"/>
      <c r="AM19" s="25"/>
      <c r="AN19" s="25"/>
      <c r="AO19" s="1"/>
      <c r="AP19" s="1"/>
    </row>
    <row r="20" ht="12.75" customHeight="1">
      <c r="A20" s="1"/>
      <c r="B20" s="1" t="s">
        <v>40</v>
      </c>
      <c r="C20" s="1"/>
      <c r="D20" s="1"/>
      <c r="E20" s="26">
        <v>0.0</v>
      </c>
      <c r="F20" s="26">
        <v>0.0</v>
      </c>
      <c r="G20" s="26">
        <v>0.0</v>
      </c>
      <c r="H20" s="26">
        <v>0.0</v>
      </c>
      <c r="I20" s="26">
        <v>0.0</v>
      </c>
      <c r="J20" s="30">
        <v>0.0</v>
      </c>
      <c r="K20" s="30">
        <v>500.0</v>
      </c>
      <c r="L20" s="30">
        <v>0.0</v>
      </c>
      <c r="M20" s="30">
        <v>1000.0</v>
      </c>
      <c r="N20" s="30"/>
      <c r="O20" s="30"/>
      <c r="P20" s="30">
        <v>1000.0</v>
      </c>
      <c r="Q20" s="30"/>
      <c r="R20" s="30"/>
      <c r="S20" s="30">
        <v>1500.0</v>
      </c>
      <c r="T20" s="30"/>
      <c r="U20" s="30"/>
      <c r="V20" s="30">
        <v>2000.0</v>
      </c>
      <c r="W20" s="30"/>
      <c r="X20" s="30"/>
      <c r="Y20" s="30">
        <v>2500.0</v>
      </c>
      <c r="Z20" s="30"/>
      <c r="AA20" s="30"/>
      <c r="AB20" s="30">
        <v>3000.0</v>
      </c>
      <c r="AC20" s="30"/>
      <c r="AD20" s="30"/>
      <c r="AE20" s="30">
        <v>3000.0</v>
      </c>
      <c r="AF20" s="30"/>
      <c r="AG20" s="32"/>
      <c r="AH20" s="23"/>
      <c r="AI20" s="23"/>
      <c r="AJ20" s="27">
        <f t="shared" ref="AJ20:AJ21" si="19">SUM(J20:U20)</f>
        <v>4000</v>
      </c>
      <c r="AK20" s="27">
        <f t="shared" ref="AK20:AK21" si="20">SUM(V20:AG20)</f>
        <v>10500</v>
      </c>
      <c r="AL20" s="27">
        <f t="shared" ref="AL20:AN20" si="17">+AL30</f>
        <v>28191.69338</v>
      </c>
      <c r="AM20" s="27">
        <f t="shared" si="17"/>
        <v>59455.89195</v>
      </c>
      <c r="AN20" s="27">
        <f t="shared" si="17"/>
        <v>126328.2464</v>
      </c>
      <c r="AO20" s="1"/>
      <c r="AP20" s="1"/>
    </row>
    <row r="21" ht="12.75" customHeight="1">
      <c r="A21" s="1"/>
      <c r="B21" s="1" t="s">
        <v>41</v>
      </c>
      <c r="C21" s="1"/>
      <c r="D21" s="1"/>
      <c r="E21" s="26">
        <v>0.0</v>
      </c>
      <c r="F21" s="26">
        <v>0.0</v>
      </c>
      <c r="G21" s="26">
        <v>0.0</v>
      </c>
      <c r="H21" s="26">
        <v>0.0</v>
      </c>
      <c r="I21" s="26">
        <v>0.0</v>
      </c>
      <c r="J21" s="27">
        <f t="shared" ref="J21:AG21" si="18">+J20</f>
        <v>0</v>
      </c>
      <c r="K21" s="27">
        <f t="shared" si="18"/>
        <v>500</v>
      </c>
      <c r="L21" s="27">
        <f t="shared" si="18"/>
        <v>0</v>
      </c>
      <c r="M21" s="27">
        <f t="shared" si="18"/>
        <v>1000</v>
      </c>
      <c r="N21" s="27" t="str">
        <f t="shared" si="18"/>
        <v/>
      </c>
      <c r="O21" s="27" t="str">
        <f t="shared" si="18"/>
        <v/>
      </c>
      <c r="P21" s="27">
        <f t="shared" si="18"/>
        <v>1000</v>
      </c>
      <c r="Q21" s="27" t="str">
        <f t="shared" si="18"/>
        <v/>
      </c>
      <c r="R21" s="27" t="str">
        <f t="shared" si="18"/>
        <v/>
      </c>
      <c r="S21" s="27">
        <f t="shared" si="18"/>
        <v>1500</v>
      </c>
      <c r="T21" s="27" t="str">
        <f t="shared" si="18"/>
        <v/>
      </c>
      <c r="U21" s="27" t="str">
        <f t="shared" si="18"/>
        <v/>
      </c>
      <c r="V21" s="27">
        <f t="shared" si="18"/>
        <v>2000</v>
      </c>
      <c r="W21" s="27" t="str">
        <f t="shared" si="18"/>
        <v/>
      </c>
      <c r="X21" s="27" t="str">
        <f t="shared" si="18"/>
        <v/>
      </c>
      <c r="Y21" s="27">
        <f t="shared" si="18"/>
        <v>2500</v>
      </c>
      <c r="Z21" s="27" t="str">
        <f t="shared" si="18"/>
        <v/>
      </c>
      <c r="AA21" s="27" t="str">
        <f t="shared" si="18"/>
        <v/>
      </c>
      <c r="AB21" s="27">
        <f t="shared" si="18"/>
        <v>3000</v>
      </c>
      <c r="AC21" s="27" t="str">
        <f t="shared" si="18"/>
        <v/>
      </c>
      <c r="AD21" s="27" t="str">
        <f t="shared" si="18"/>
        <v/>
      </c>
      <c r="AE21" s="27">
        <f t="shared" si="18"/>
        <v>3000</v>
      </c>
      <c r="AF21" s="27" t="str">
        <f t="shared" si="18"/>
        <v/>
      </c>
      <c r="AG21" s="27" t="str">
        <f t="shared" si="18"/>
        <v/>
      </c>
      <c r="AH21" s="46"/>
      <c r="AI21" s="46"/>
      <c r="AJ21" s="27">
        <f t="shared" si="19"/>
        <v>4000</v>
      </c>
      <c r="AK21" s="27">
        <f t="shared" si="20"/>
        <v>10500</v>
      </c>
      <c r="AL21" s="27">
        <f t="shared" ref="AL21:AN21" si="21">+AL20</f>
        <v>28191.69338</v>
      </c>
      <c r="AM21" s="27">
        <f t="shared" si="21"/>
        <v>59455.89195</v>
      </c>
      <c r="AN21" s="27">
        <f t="shared" si="21"/>
        <v>126328.2464</v>
      </c>
      <c r="AO21" s="1"/>
      <c r="AP21" s="1"/>
    </row>
    <row r="22" ht="12.75" customHeight="1">
      <c r="A22" s="1"/>
      <c r="B22" s="14"/>
      <c r="C22" s="25"/>
      <c r="D22" s="25"/>
      <c r="E22" s="24"/>
      <c r="F22" s="24"/>
      <c r="G22" s="24"/>
      <c r="H22" s="24"/>
      <c r="I22" s="24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23"/>
      <c r="AI22" s="23"/>
      <c r="AJ22" s="43"/>
      <c r="AK22" s="43"/>
      <c r="AL22" s="43"/>
      <c r="AM22" s="43"/>
      <c r="AN22" s="43"/>
      <c r="AO22" s="1"/>
      <c r="AP22" s="1"/>
    </row>
    <row r="23" ht="12.75" customHeight="1">
      <c r="A23" s="1"/>
      <c r="B23" s="1" t="s">
        <v>43</v>
      </c>
      <c r="C23" s="1"/>
      <c r="D23" s="1"/>
      <c r="E23" s="24"/>
      <c r="F23" s="24"/>
      <c r="G23" s="24"/>
      <c r="H23" s="24"/>
      <c r="I23" s="24"/>
      <c r="J23" s="27">
        <f t="shared" ref="J23:AG23" si="22">+J28</f>
        <v>0</v>
      </c>
      <c r="K23" s="27">
        <f t="shared" si="22"/>
        <v>0</v>
      </c>
      <c r="L23" s="27">
        <f t="shared" si="22"/>
        <v>500</v>
      </c>
      <c r="M23" s="27">
        <f t="shared" si="22"/>
        <v>500</v>
      </c>
      <c r="N23" s="27">
        <f t="shared" si="22"/>
        <v>1200</v>
      </c>
      <c r="O23" s="27">
        <f t="shared" si="22"/>
        <v>900</v>
      </c>
      <c r="P23" s="27">
        <f t="shared" si="22"/>
        <v>700</v>
      </c>
      <c r="Q23" s="27">
        <f t="shared" si="22"/>
        <v>1500</v>
      </c>
      <c r="R23" s="27">
        <f t="shared" si="22"/>
        <v>1300</v>
      </c>
      <c r="S23" s="27">
        <f t="shared" si="22"/>
        <v>800</v>
      </c>
      <c r="T23" s="27">
        <f t="shared" si="22"/>
        <v>1800</v>
      </c>
      <c r="U23" s="27">
        <f t="shared" si="22"/>
        <v>1300</v>
      </c>
      <c r="V23" s="27">
        <f t="shared" si="22"/>
        <v>800</v>
      </c>
      <c r="W23" s="27">
        <f t="shared" si="22"/>
        <v>2300</v>
      </c>
      <c r="X23" s="27">
        <f t="shared" si="22"/>
        <v>1800</v>
      </c>
      <c r="Y23" s="27">
        <f t="shared" si="22"/>
        <v>1300</v>
      </c>
      <c r="Z23" s="27">
        <f t="shared" si="22"/>
        <v>3000</v>
      </c>
      <c r="AA23" s="27">
        <f t="shared" si="22"/>
        <v>2200</v>
      </c>
      <c r="AB23" s="27">
        <f t="shared" si="22"/>
        <v>1400</v>
      </c>
      <c r="AC23" s="27">
        <f t="shared" si="22"/>
        <v>3500</v>
      </c>
      <c r="AD23" s="27">
        <f t="shared" si="22"/>
        <v>2600</v>
      </c>
      <c r="AE23" s="27">
        <f t="shared" si="22"/>
        <v>1700</v>
      </c>
      <c r="AF23" s="27">
        <f t="shared" si="22"/>
        <v>3500</v>
      </c>
      <c r="AG23" s="27">
        <f t="shared" si="22"/>
        <v>2300</v>
      </c>
      <c r="AH23" s="4"/>
      <c r="AI23" s="4"/>
      <c r="AJ23" s="27"/>
      <c r="AK23" s="1"/>
      <c r="AL23" s="1"/>
      <c r="AM23" s="1"/>
      <c r="AN23" s="1"/>
      <c r="AO23" s="1"/>
      <c r="AP23" s="1"/>
    </row>
    <row r="24" ht="12.75" customHeight="1">
      <c r="A24" s="1"/>
      <c r="B24" s="52" t="s">
        <v>44</v>
      </c>
      <c r="C24" s="1"/>
      <c r="D24" s="1"/>
      <c r="E24" s="24"/>
      <c r="F24" s="24"/>
      <c r="G24" s="24"/>
      <c r="H24" s="24"/>
      <c r="I24" s="24"/>
      <c r="J24" s="53">
        <v>0.1</v>
      </c>
      <c r="K24" s="54">
        <f t="shared" ref="K24:U24" si="23">+J24</f>
        <v>0.1</v>
      </c>
      <c r="L24" s="54">
        <f t="shared" si="23"/>
        <v>0.1</v>
      </c>
      <c r="M24" s="54">
        <f t="shared" si="23"/>
        <v>0.1</v>
      </c>
      <c r="N24" s="54">
        <f t="shared" si="23"/>
        <v>0.1</v>
      </c>
      <c r="O24" s="54">
        <f t="shared" si="23"/>
        <v>0.1</v>
      </c>
      <c r="P24" s="54">
        <f t="shared" si="23"/>
        <v>0.1</v>
      </c>
      <c r="Q24" s="54">
        <f t="shared" si="23"/>
        <v>0.1</v>
      </c>
      <c r="R24" s="54">
        <f t="shared" si="23"/>
        <v>0.1</v>
      </c>
      <c r="S24" s="54">
        <f t="shared" si="23"/>
        <v>0.1</v>
      </c>
      <c r="T24" s="54">
        <f t="shared" si="23"/>
        <v>0.1</v>
      </c>
      <c r="U24" s="54">
        <f t="shared" si="23"/>
        <v>0.1</v>
      </c>
      <c r="V24" s="53">
        <v>0.1</v>
      </c>
      <c r="W24" s="54">
        <f t="shared" ref="W24:AG24" si="24">+V24</f>
        <v>0.1</v>
      </c>
      <c r="X24" s="54">
        <f t="shared" si="24"/>
        <v>0.1</v>
      </c>
      <c r="Y24" s="54">
        <f t="shared" si="24"/>
        <v>0.1</v>
      </c>
      <c r="Z24" s="54">
        <f t="shared" si="24"/>
        <v>0.1</v>
      </c>
      <c r="AA24" s="54">
        <f t="shared" si="24"/>
        <v>0.1</v>
      </c>
      <c r="AB24" s="54">
        <f t="shared" si="24"/>
        <v>0.1</v>
      </c>
      <c r="AC24" s="54">
        <f t="shared" si="24"/>
        <v>0.1</v>
      </c>
      <c r="AD24" s="54">
        <f t="shared" si="24"/>
        <v>0.1</v>
      </c>
      <c r="AE24" s="54">
        <f t="shared" si="24"/>
        <v>0.1</v>
      </c>
      <c r="AF24" s="54">
        <f t="shared" si="24"/>
        <v>0.1</v>
      </c>
      <c r="AG24" s="54">
        <f t="shared" si="24"/>
        <v>0.1</v>
      </c>
      <c r="AH24" s="4"/>
      <c r="AI24" s="4"/>
      <c r="AJ24" s="1"/>
      <c r="AK24" s="1"/>
      <c r="AL24" s="1"/>
      <c r="AM24" s="1"/>
      <c r="AN24" s="1"/>
      <c r="AO24" s="1"/>
      <c r="AP24" s="1"/>
    </row>
    <row r="25" ht="12.75" customHeight="1">
      <c r="A25" s="1"/>
      <c r="B25" s="9" t="s">
        <v>38</v>
      </c>
      <c r="C25" s="55"/>
      <c r="D25" s="55"/>
      <c r="E25" s="56"/>
      <c r="F25" s="56"/>
      <c r="G25" s="56"/>
      <c r="H25" s="56"/>
      <c r="I25" s="56"/>
      <c r="J25" s="57">
        <f t="shared" ref="J25:AG25" si="25">+J16</f>
        <v>0</v>
      </c>
      <c r="K25" s="57">
        <f t="shared" si="25"/>
        <v>0</v>
      </c>
      <c r="L25" s="57">
        <f t="shared" si="25"/>
        <v>0</v>
      </c>
      <c r="M25" s="57">
        <f t="shared" si="25"/>
        <v>300</v>
      </c>
      <c r="N25" s="57">
        <f t="shared" si="25"/>
        <v>300</v>
      </c>
      <c r="O25" s="57">
        <f t="shared" si="25"/>
        <v>200</v>
      </c>
      <c r="P25" s="57">
        <f t="shared" si="25"/>
        <v>200</v>
      </c>
      <c r="Q25" s="57">
        <f t="shared" si="25"/>
        <v>200</v>
      </c>
      <c r="R25" s="57">
        <f t="shared" si="25"/>
        <v>500</v>
      </c>
      <c r="S25" s="57">
        <f t="shared" si="25"/>
        <v>500</v>
      </c>
      <c r="T25" s="57">
        <f t="shared" si="25"/>
        <v>500</v>
      </c>
      <c r="U25" s="57">
        <f t="shared" si="25"/>
        <v>500</v>
      </c>
      <c r="V25" s="57">
        <f t="shared" si="25"/>
        <v>500</v>
      </c>
      <c r="W25" s="57">
        <f t="shared" si="25"/>
        <v>500</v>
      </c>
      <c r="X25" s="57">
        <f t="shared" si="25"/>
        <v>500</v>
      </c>
      <c r="Y25" s="57">
        <f t="shared" si="25"/>
        <v>800</v>
      </c>
      <c r="Z25" s="57">
        <f t="shared" si="25"/>
        <v>800</v>
      </c>
      <c r="AA25" s="57">
        <f t="shared" si="25"/>
        <v>800</v>
      </c>
      <c r="AB25" s="57">
        <f t="shared" si="25"/>
        <v>900</v>
      </c>
      <c r="AC25" s="57">
        <f t="shared" si="25"/>
        <v>900</v>
      </c>
      <c r="AD25" s="57">
        <f t="shared" si="25"/>
        <v>900</v>
      </c>
      <c r="AE25" s="57">
        <f t="shared" si="25"/>
        <v>1200</v>
      </c>
      <c r="AF25" s="57">
        <f t="shared" si="25"/>
        <v>1200</v>
      </c>
      <c r="AG25" s="57">
        <f t="shared" si="25"/>
        <v>1200</v>
      </c>
      <c r="AH25" s="23"/>
      <c r="AI25" s="23"/>
      <c r="AJ25" s="57">
        <f t="shared" ref="AJ25:AJ26" si="28">SUM(J25:U25)</f>
        <v>3200</v>
      </c>
      <c r="AK25" s="57">
        <f t="shared" ref="AK25:AK26" si="29">SUM(V25:AG25)</f>
        <v>10200</v>
      </c>
      <c r="AL25" s="57">
        <f t="shared" ref="AL25:AN25" si="26">+AL16</f>
        <v>27300</v>
      </c>
      <c r="AM25" s="57">
        <f t="shared" si="26"/>
        <v>58305</v>
      </c>
      <c r="AN25" s="57">
        <f t="shared" si="26"/>
        <v>124569.9</v>
      </c>
      <c r="AO25" s="1"/>
      <c r="AP25" s="1"/>
    </row>
    <row r="26" ht="12.75" customHeight="1">
      <c r="A26" s="1"/>
      <c r="B26" s="1" t="s">
        <v>45</v>
      </c>
      <c r="C26" s="1"/>
      <c r="D26" s="1"/>
      <c r="E26" s="24"/>
      <c r="F26" s="24"/>
      <c r="G26" s="24"/>
      <c r="H26" s="24"/>
      <c r="I26" s="24"/>
      <c r="J26" s="27">
        <f t="shared" ref="J26:AG26" si="27">+MIN(J23*(1-J24),J25)</f>
        <v>0</v>
      </c>
      <c r="K26" s="27">
        <f t="shared" si="27"/>
        <v>0</v>
      </c>
      <c r="L26" s="27">
        <f t="shared" si="27"/>
        <v>0</v>
      </c>
      <c r="M26" s="27">
        <f t="shared" si="27"/>
        <v>300</v>
      </c>
      <c r="N26" s="27">
        <f t="shared" si="27"/>
        <v>300</v>
      </c>
      <c r="O26" s="27">
        <f t="shared" si="27"/>
        <v>200</v>
      </c>
      <c r="P26" s="27">
        <f t="shared" si="27"/>
        <v>200</v>
      </c>
      <c r="Q26" s="27">
        <f t="shared" si="27"/>
        <v>200</v>
      </c>
      <c r="R26" s="27">
        <f t="shared" si="27"/>
        <v>500</v>
      </c>
      <c r="S26" s="27">
        <f t="shared" si="27"/>
        <v>500</v>
      </c>
      <c r="T26" s="27">
        <f t="shared" si="27"/>
        <v>500</v>
      </c>
      <c r="U26" s="27">
        <f t="shared" si="27"/>
        <v>500</v>
      </c>
      <c r="V26" s="27">
        <f t="shared" si="27"/>
        <v>500</v>
      </c>
      <c r="W26" s="27">
        <f t="shared" si="27"/>
        <v>500</v>
      </c>
      <c r="X26" s="27">
        <f t="shared" si="27"/>
        <v>500</v>
      </c>
      <c r="Y26" s="27">
        <f t="shared" si="27"/>
        <v>800</v>
      </c>
      <c r="Z26" s="27">
        <f t="shared" si="27"/>
        <v>800</v>
      </c>
      <c r="AA26" s="27">
        <f t="shared" si="27"/>
        <v>800</v>
      </c>
      <c r="AB26" s="27">
        <f t="shared" si="27"/>
        <v>900</v>
      </c>
      <c r="AC26" s="27">
        <f t="shared" si="27"/>
        <v>900</v>
      </c>
      <c r="AD26" s="27">
        <f t="shared" si="27"/>
        <v>900</v>
      </c>
      <c r="AE26" s="27">
        <f t="shared" si="27"/>
        <v>1200</v>
      </c>
      <c r="AF26" s="27">
        <f t="shared" si="27"/>
        <v>1200</v>
      </c>
      <c r="AG26" s="27">
        <f t="shared" si="27"/>
        <v>1200</v>
      </c>
      <c r="AH26" s="4"/>
      <c r="AI26" s="4"/>
      <c r="AJ26" s="27">
        <f t="shared" si="28"/>
        <v>3200</v>
      </c>
      <c r="AK26" s="27">
        <f t="shared" si="29"/>
        <v>10200</v>
      </c>
      <c r="AL26" s="27">
        <f t="shared" ref="AL26:AN26" si="30">+AL25</f>
        <v>27300</v>
      </c>
      <c r="AM26" s="27">
        <f t="shared" si="30"/>
        <v>58305</v>
      </c>
      <c r="AN26" s="27">
        <f t="shared" si="30"/>
        <v>124569.9</v>
      </c>
      <c r="AO26" s="1"/>
      <c r="AP26" s="1"/>
    </row>
    <row r="27" ht="12.75" customHeight="1">
      <c r="A27" s="1"/>
      <c r="B27" s="1"/>
      <c r="C27" s="1"/>
      <c r="D27" s="1"/>
      <c r="E27" s="24"/>
      <c r="F27" s="24"/>
      <c r="G27" s="24"/>
      <c r="H27" s="24"/>
      <c r="I27" s="2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4"/>
      <c r="AI27" s="4"/>
      <c r="AJ27" s="1"/>
      <c r="AK27" s="1"/>
      <c r="AL27" s="1"/>
      <c r="AM27" s="1"/>
      <c r="AN27" s="1"/>
      <c r="AO27" s="1"/>
      <c r="AP27" s="1"/>
    </row>
    <row r="28" ht="12.75" customHeight="1">
      <c r="A28" s="1"/>
      <c r="B28" s="1" t="s">
        <v>46</v>
      </c>
      <c r="C28" s="25"/>
      <c r="D28" s="25"/>
      <c r="E28" s="26">
        <v>0.0</v>
      </c>
      <c r="F28" s="26">
        <f t="shared" ref="F28:AG28" si="31">E31</f>
        <v>0</v>
      </c>
      <c r="G28" s="26">
        <f t="shared" si="31"/>
        <v>0</v>
      </c>
      <c r="H28" s="26">
        <f t="shared" si="31"/>
        <v>0</v>
      </c>
      <c r="I28" s="26">
        <f t="shared" si="31"/>
        <v>0</v>
      </c>
      <c r="J28" s="27">
        <f t="shared" si="31"/>
        <v>0</v>
      </c>
      <c r="K28" s="27">
        <f t="shared" si="31"/>
        <v>0</v>
      </c>
      <c r="L28" s="27">
        <f t="shared" si="31"/>
        <v>500</v>
      </c>
      <c r="M28" s="27">
        <f t="shared" si="31"/>
        <v>500</v>
      </c>
      <c r="N28" s="27">
        <f t="shared" si="31"/>
        <v>1200</v>
      </c>
      <c r="O28" s="27">
        <f t="shared" si="31"/>
        <v>900</v>
      </c>
      <c r="P28" s="27">
        <f t="shared" si="31"/>
        <v>700</v>
      </c>
      <c r="Q28" s="27">
        <f t="shared" si="31"/>
        <v>1500</v>
      </c>
      <c r="R28" s="27">
        <f t="shared" si="31"/>
        <v>1300</v>
      </c>
      <c r="S28" s="27">
        <f t="shared" si="31"/>
        <v>800</v>
      </c>
      <c r="T28" s="27">
        <f t="shared" si="31"/>
        <v>1800</v>
      </c>
      <c r="U28" s="27">
        <f t="shared" si="31"/>
        <v>1300</v>
      </c>
      <c r="V28" s="27">
        <f t="shared" si="31"/>
        <v>800</v>
      </c>
      <c r="W28" s="27">
        <f t="shared" si="31"/>
        <v>2300</v>
      </c>
      <c r="X28" s="27">
        <f t="shared" si="31"/>
        <v>1800</v>
      </c>
      <c r="Y28" s="27">
        <f t="shared" si="31"/>
        <v>1300</v>
      </c>
      <c r="Z28" s="27">
        <f t="shared" si="31"/>
        <v>3000</v>
      </c>
      <c r="AA28" s="27">
        <f t="shared" si="31"/>
        <v>2200</v>
      </c>
      <c r="AB28" s="27">
        <f t="shared" si="31"/>
        <v>1400</v>
      </c>
      <c r="AC28" s="27">
        <f t="shared" si="31"/>
        <v>3500</v>
      </c>
      <c r="AD28" s="27">
        <f t="shared" si="31"/>
        <v>2600</v>
      </c>
      <c r="AE28" s="27">
        <f t="shared" si="31"/>
        <v>1700</v>
      </c>
      <c r="AF28" s="27">
        <f t="shared" si="31"/>
        <v>3500</v>
      </c>
      <c r="AG28" s="27">
        <f t="shared" si="31"/>
        <v>2300</v>
      </c>
      <c r="AH28" s="4"/>
      <c r="AI28" s="4"/>
      <c r="AJ28" s="27">
        <f>J28</f>
        <v>0</v>
      </c>
      <c r="AK28" s="27">
        <f t="shared" ref="AK28:AN28" si="32">AJ31</f>
        <v>800</v>
      </c>
      <c r="AL28" s="27">
        <f t="shared" si="32"/>
        <v>1100</v>
      </c>
      <c r="AM28" s="27">
        <f t="shared" si="32"/>
        <v>1991.69338</v>
      </c>
      <c r="AN28" s="27">
        <f t="shared" si="32"/>
        <v>3142.585329</v>
      </c>
      <c r="AO28" s="1"/>
      <c r="AP28" s="1"/>
    </row>
    <row r="29" ht="12.75" customHeight="1">
      <c r="A29" s="1"/>
      <c r="B29" s="1" t="s">
        <v>45</v>
      </c>
      <c r="C29" s="25"/>
      <c r="D29" s="25"/>
      <c r="E29" s="26">
        <f t="shared" ref="E29:I29" si="33">+E16</f>
        <v>0</v>
      </c>
      <c r="F29" s="26">
        <f t="shared" si="33"/>
        <v>0</v>
      </c>
      <c r="G29" s="26">
        <f t="shared" si="33"/>
        <v>0</v>
      </c>
      <c r="H29" s="26">
        <f t="shared" si="33"/>
        <v>0</v>
      </c>
      <c r="I29" s="26">
        <f t="shared" si="33"/>
        <v>0</v>
      </c>
      <c r="J29" s="27">
        <f t="shared" ref="J29:AG29" si="34">+J26</f>
        <v>0</v>
      </c>
      <c r="K29" s="27">
        <f t="shared" si="34"/>
        <v>0</v>
      </c>
      <c r="L29" s="27">
        <f t="shared" si="34"/>
        <v>0</v>
      </c>
      <c r="M29" s="27">
        <f t="shared" si="34"/>
        <v>300</v>
      </c>
      <c r="N29" s="27">
        <f t="shared" si="34"/>
        <v>300</v>
      </c>
      <c r="O29" s="27">
        <f t="shared" si="34"/>
        <v>200</v>
      </c>
      <c r="P29" s="27">
        <f t="shared" si="34"/>
        <v>200</v>
      </c>
      <c r="Q29" s="27">
        <f t="shared" si="34"/>
        <v>200</v>
      </c>
      <c r="R29" s="27">
        <f t="shared" si="34"/>
        <v>500</v>
      </c>
      <c r="S29" s="27">
        <f t="shared" si="34"/>
        <v>500</v>
      </c>
      <c r="T29" s="27">
        <f t="shared" si="34"/>
        <v>500</v>
      </c>
      <c r="U29" s="27">
        <f t="shared" si="34"/>
        <v>500</v>
      </c>
      <c r="V29" s="27">
        <f t="shared" si="34"/>
        <v>500</v>
      </c>
      <c r="W29" s="27">
        <f t="shared" si="34"/>
        <v>500</v>
      </c>
      <c r="X29" s="27">
        <f t="shared" si="34"/>
        <v>500</v>
      </c>
      <c r="Y29" s="27">
        <f t="shared" si="34"/>
        <v>800</v>
      </c>
      <c r="Z29" s="27">
        <f t="shared" si="34"/>
        <v>800</v>
      </c>
      <c r="AA29" s="27">
        <f t="shared" si="34"/>
        <v>800</v>
      </c>
      <c r="AB29" s="27">
        <f t="shared" si="34"/>
        <v>900</v>
      </c>
      <c r="AC29" s="27">
        <f t="shared" si="34"/>
        <v>900</v>
      </c>
      <c r="AD29" s="27">
        <f t="shared" si="34"/>
        <v>900</v>
      </c>
      <c r="AE29" s="27">
        <f t="shared" si="34"/>
        <v>1200</v>
      </c>
      <c r="AF29" s="27">
        <f t="shared" si="34"/>
        <v>1200</v>
      </c>
      <c r="AG29" s="27">
        <f t="shared" si="34"/>
        <v>1200</v>
      </c>
      <c r="AH29" s="46"/>
      <c r="AI29" s="46"/>
      <c r="AJ29" s="27">
        <f t="shared" ref="AJ29:AN29" si="35">+AJ26</f>
        <v>3200</v>
      </c>
      <c r="AK29" s="27">
        <f t="shared" si="35"/>
        <v>10200</v>
      </c>
      <c r="AL29" s="27">
        <f t="shared" si="35"/>
        <v>27300</v>
      </c>
      <c r="AM29" s="27">
        <f t="shared" si="35"/>
        <v>58305</v>
      </c>
      <c r="AN29" s="27">
        <f t="shared" si="35"/>
        <v>124569.9</v>
      </c>
      <c r="AO29" s="1"/>
      <c r="AP29" s="1"/>
    </row>
    <row r="30" ht="12.75" customHeight="1">
      <c r="A30" s="1"/>
      <c r="B30" s="9" t="s">
        <v>41</v>
      </c>
      <c r="C30" s="55"/>
      <c r="D30" s="55"/>
      <c r="E30" s="56">
        <v>0.0</v>
      </c>
      <c r="F30" s="56">
        <v>0.0</v>
      </c>
      <c r="G30" s="56">
        <v>0.0</v>
      </c>
      <c r="H30" s="56">
        <f t="shared" ref="H30:I30" si="36">+H71</f>
        <v>0</v>
      </c>
      <c r="I30" s="56">
        <f t="shared" si="36"/>
        <v>0</v>
      </c>
      <c r="J30" s="57">
        <f t="shared" ref="J30:AG30" si="37">+J21</f>
        <v>0</v>
      </c>
      <c r="K30" s="57">
        <f t="shared" si="37"/>
        <v>500</v>
      </c>
      <c r="L30" s="57">
        <f t="shared" si="37"/>
        <v>0</v>
      </c>
      <c r="M30" s="57">
        <f t="shared" si="37"/>
        <v>1000</v>
      </c>
      <c r="N30" s="57" t="str">
        <f t="shared" si="37"/>
        <v/>
      </c>
      <c r="O30" s="57" t="str">
        <f t="shared" si="37"/>
        <v/>
      </c>
      <c r="P30" s="57">
        <f t="shared" si="37"/>
        <v>1000</v>
      </c>
      <c r="Q30" s="57" t="str">
        <f t="shared" si="37"/>
        <v/>
      </c>
      <c r="R30" s="57" t="str">
        <f t="shared" si="37"/>
        <v/>
      </c>
      <c r="S30" s="57">
        <f t="shared" si="37"/>
        <v>1500</v>
      </c>
      <c r="T30" s="57" t="str">
        <f t="shared" si="37"/>
        <v/>
      </c>
      <c r="U30" s="57" t="str">
        <f t="shared" si="37"/>
        <v/>
      </c>
      <c r="V30" s="57">
        <f t="shared" si="37"/>
        <v>2000</v>
      </c>
      <c r="W30" s="57" t="str">
        <f t="shared" si="37"/>
        <v/>
      </c>
      <c r="X30" s="57" t="str">
        <f t="shared" si="37"/>
        <v/>
      </c>
      <c r="Y30" s="57">
        <f t="shared" si="37"/>
        <v>2500</v>
      </c>
      <c r="Z30" s="57" t="str">
        <f t="shared" si="37"/>
        <v/>
      </c>
      <c r="AA30" s="57" t="str">
        <f t="shared" si="37"/>
        <v/>
      </c>
      <c r="AB30" s="57">
        <f t="shared" si="37"/>
        <v>3000</v>
      </c>
      <c r="AC30" s="57" t="str">
        <f t="shared" si="37"/>
        <v/>
      </c>
      <c r="AD30" s="57" t="str">
        <f t="shared" si="37"/>
        <v/>
      </c>
      <c r="AE30" s="57">
        <f t="shared" si="37"/>
        <v>3000</v>
      </c>
      <c r="AF30" s="57" t="str">
        <f t="shared" si="37"/>
        <v/>
      </c>
      <c r="AG30" s="57" t="str">
        <f t="shared" si="37"/>
        <v/>
      </c>
      <c r="AH30" s="46"/>
      <c r="AI30" s="46"/>
      <c r="AJ30" s="57">
        <f t="shared" ref="AJ30:AK30" si="38">+AJ21</f>
        <v>4000</v>
      </c>
      <c r="AK30" s="57">
        <f t="shared" si="38"/>
        <v>10500</v>
      </c>
      <c r="AL30" s="57">
        <f t="shared" ref="AL30:AN30" si="39">+AL29+AL31-AL28</f>
        <v>28191.69338</v>
      </c>
      <c r="AM30" s="57">
        <f t="shared" si="39"/>
        <v>59455.89195</v>
      </c>
      <c r="AN30" s="57">
        <f t="shared" si="39"/>
        <v>126328.2464</v>
      </c>
      <c r="AO30" s="1"/>
      <c r="AP30" s="1"/>
    </row>
    <row r="31" ht="12.75" customHeight="1">
      <c r="A31" s="1"/>
      <c r="B31" s="28" t="s">
        <v>47</v>
      </c>
      <c r="C31" s="36"/>
      <c r="D31" s="36"/>
      <c r="E31" s="37">
        <f t="shared" ref="E31:AG31" si="40">E28+E30-E29</f>
        <v>0</v>
      </c>
      <c r="F31" s="37">
        <f t="shared" si="40"/>
        <v>0</v>
      </c>
      <c r="G31" s="37">
        <f t="shared" si="40"/>
        <v>0</v>
      </c>
      <c r="H31" s="37">
        <f t="shared" si="40"/>
        <v>0</v>
      </c>
      <c r="I31" s="37">
        <f t="shared" si="40"/>
        <v>0</v>
      </c>
      <c r="J31" s="38">
        <f t="shared" si="40"/>
        <v>0</v>
      </c>
      <c r="K31" s="38">
        <f t="shared" si="40"/>
        <v>500</v>
      </c>
      <c r="L31" s="38">
        <f t="shared" si="40"/>
        <v>500</v>
      </c>
      <c r="M31" s="38">
        <f t="shared" si="40"/>
        <v>1200</v>
      </c>
      <c r="N31" s="38">
        <f t="shared" si="40"/>
        <v>900</v>
      </c>
      <c r="O31" s="38">
        <f t="shared" si="40"/>
        <v>700</v>
      </c>
      <c r="P31" s="38">
        <f t="shared" si="40"/>
        <v>1500</v>
      </c>
      <c r="Q31" s="38">
        <f t="shared" si="40"/>
        <v>1300</v>
      </c>
      <c r="R31" s="38">
        <f t="shared" si="40"/>
        <v>800</v>
      </c>
      <c r="S31" s="38">
        <f t="shared" si="40"/>
        <v>1800</v>
      </c>
      <c r="T31" s="38">
        <f t="shared" si="40"/>
        <v>1300</v>
      </c>
      <c r="U31" s="38">
        <f t="shared" si="40"/>
        <v>800</v>
      </c>
      <c r="V31" s="38">
        <f t="shared" si="40"/>
        <v>2300</v>
      </c>
      <c r="W31" s="38">
        <f t="shared" si="40"/>
        <v>1800</v>
      </c>
      <c r="X31" s="38">
        <f t="shared" si="40"/>
        <v>1300</v>
      </c>
      <c r="Y31" s="38">
        <f t="shared" si="40"/>
        <v>3000</v>
      </c>
      <c r="Z31" s="38">
        <f t="shared" si="40"/>
        <v>2200</v>
      </c>
      <c r="AA31" s="38">
        <f t="shared" si="40"/>
        <v>1400</v>
      </c>
      <c r="AB31" s="38">
        <f t="shared" si="40"/>
        <v>3500</v>
      </c>
      <c r="AC31" s="38">
        <f t="shared" si="40"/>
        <v>2600</v>
      </c>
      <c r="AD31" s="38">
        <f t="shared" si="40"/>
        <v>1700</v>
      </c>
      <c r="AE31" s="38">
        <f t="shared" si="40"/>
        <v>3500</v>
      </c>
      <c r="AF31" s="38">
        <f t="shared" si="40"/>
        <v>2300</v>
      </c>
      <c r="AG31" s="38">
        <f t="shared" si="40"/>
        <v>1100</v>
      </c>
      <c r="AH31" s="4"/>
      <c r="AI31" s="4"/>
      <c r="AJ31" s="38">
        <f t="shared" ref="AJ31:AK31" si="41">AJ28+AJ30-AJ29</f>
        <v>800</v>
      </c>
      <c r="AK31" s="38">
        <f t="shared" si="41"/>
        <v>1100</v>
      </c>
      <c r="AL31" s="38">
        <f t="shared" ref="AL31:AN31" si="42">+AK31*(1+AL115/2)</f>
        <v>1991.69338</v>
      </c>
      <c r="AM31" s="38">
        <f t="shared" si="42"/>
        <v>3142.585329</v>
      </c>
      <c r="AN31" s="38">
        <f t="shared" si="42"/>
        <v>4900.931769</v>
      </c>
      <c r="AO31" s="1"/>
      <c r="AP31" s="1"/>
    </row>
    <row r="32" ht="12.75" customHeight="1">
      <c r="A32" s="1"/>
      <c r="B32" s="14"/>
      <c r="C32" s="45"/>
      <c r="D32" s="45"/>
      <c r="E32" s="58"/>
      <c r="F32" s="58"/>
      <c r="G32" s="58"/>
      <c r="H32" s="58"/>
      <c r="I32" s="58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23"/>
      <c r="AI32" s="23"/>
      <c r="AJ32" s="42"/>
      <c r="AK32" s="42"/>
      <c r="AL32" s="42"/>
      <c r="AM32" s="42"/>
      <c r="AN32" s="42"/>
      <c r="AO32" s="1"/>
      <c r="AP32" s="1"/>
    </row>
    <row r="33" ht="12.75" customHeight="1">
      <c r="A33" s="1"/>
      <c r="B33" s="21" t="s">
        <v>48</v>
      </c>
      <c r="C33" s="22"/>
      <c r="D33" s="22"/>
      <c r="E33" s="44"/>
      <c r="F33" s="44"/>
      <c r="G33" s="44"/>
      <c r="H33" s="44"/>
      <c r="I33" s="44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3"/>
      <c r="AI33" s="23"/>
      <c r="AJ33" s="22"/>
      <c r="AK33" s="22"/>
      <c r="AL33" s="22"/>
      <c r="AM33" s="22"/>
      <c r="AN33" s="22"/>
      <c r="AO33" s="1"/>
      <c r="AP33" s="1"/>
    </row>
    <row r="34" ht="12.75" customHeight="1">
      <c r="A34" s="1"/>
      <c r="B34" s="1"/>
      <c r="C34" s="1"/>
      <c r="D34" s="1"/>
      <c r="E34" s="24"/>
      <c r="F34" s="24"/>
      <c r="G34" s="24"/>
      <c r="H34" s="24"/>
      <c r="I34" s="2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4"/>
      <c r="AI34" s="4"/>
      <c r="AJ34" s="1"/>
      <c r="AK34" s="1"/>
      <c r="AL34" s="1"/>
      <c r="AM34" s="1"/>
      <c r="AN34" s="1"/>
      <c r="AO34" s="1"/>
      <c r="AP34" s="1"/>
    </row>
    <row r="35" ht="12.75" customHeight="1">
      <c r="A35" s="1"/>
      <c r="B35" s="1" t="s">
        <v>49</v>
      </c>
      <c r="C35" s="1"/>
      <c r="D35" s="1"/>
      <c r="E35" s="59">
        <v>0.0</v>
      </c>
      <c r="F35" s="59">
        <v>0.0</v>
      </c>
      <c r="G35" s="59">
        <v>0.0</v>
      </c>
      <c r="H35" s="59">
        <v>0.0</v>
      </c>
      <c r="I35" s="59">
        <v>0.0</v>
      </c>
      <c r="J35" s="53">
        <v>0.1</v>
      </c>
      <c r="K35" s="54">
        <f t="shared" ref="K35:U35" si="43">J35</f>
        <v>0.1</v>
      </c>
      <c r="L35" s="54">
        <f t="shared" si="43"/>
        <v>0.1</v>
      </c>
      <c r="M35" s="54">
        <f t="shared" si="43"/>
        <v>0.1</v>
      </c>
      <c r="N35" s="54">
        <f t="shared" si="43"/>
        <v>0.1</v>
      </c>
      <c r="O35" s="54">
        <f t="shared" si="43"/>
        <v>0.1</v>
      </c>
      <c r="P35" s="54">
        <f t="shared" si="43"/>
        <v>0.1</v>
      </c>
      <c r="Q35" s="54">
        <f t="shared" si="43"/>
        <v>0.1</v>
      </c>
      <c r="R35" s="54">
        <f t="shared" si="43"/>
        <v>0.1</v>
      </c>
      <c r="S35" s="54">
        <f t="shared" si="43"/>
        <v>0.1</v>
      </c>
      <c r="T35" s="54">
        <f t="shared" si="43"/>
        <v>0.1</v>
      </c>
      <c r="U35" s="54">
        <f t="shared" si="43"/>
        <v>0.1</v>
      </c>
      <c r="V35" s="60">
        <v>0.1</v>
      </c>
      <c r="W35" s="54">
        <f t="shared" ref="W35:AG35" si="44">V35</f>
        <v>0.1</v>
      </c>
      <c r="X35" s="54">
        <f t="shared" si="44"/>
        <v>0.1</v>
      </c>
      <c r="Y35" s="54">
        <f t="shared" si="44"/>
        <v>0.1</v>
      </c>
      <c r="Z35" s="54">
        <f t="shared" si="44"/>
        <v>0.1</v>
      </c>
      <c r="AA35" s="54">
        <f t="shared" si="44"/>
        <v>0.1</v>
      </c>
      <c r="AB35" s="54">
        <f t="shared" si="44"/>
        <v>0.1</v>
      </c>
      <c r="AC35" s="54">
        <f t="shared" si="44"/>
        <v>0.1</v>
      </c>
      <c r="AD35" s="54">
        <f t="shared" si="44"/>
        <v>0.1</v>
      </c>
      <c r="AE35" s="54">
        <f t="shared" si="44"/>
        <v>0.1</v>
      </c>
      <c r="AF35" s="54">
        <f t="shared" si="44"/>
        <v>0.1</v>
      </c>
      <c r="AG35" s="54">
        <f t="shared" si="44"/>
        <v>0.1</v>
      </c>
      <c r="AH35" s="4"/>
      <c r="AI35" s="4"/>
      <c r="AJ35" s="48">
        <f>AVERAGE(J35:U35)</f>
        <v>0.1</v>
      </c>
      <c r="AK35" s="48">
        <f>AVERAGE(V35:AG35)</f>
        <v>0.1</v>
      </c>
      <c r="AL35" s="60">
        <v>0.15</v>
      </c>
      <c r="AM35" s="60">
        <v>0.15</v>
      </c>
      <c r="AN35" s="60">
        <v>0.15</v>
      </c>
      <c r="AO35" s="1"/>
      <c r="AP35" s="1"/>
    </row>
    <row r="36" ht="12.75" customHeight="1">
      <c r="A36" s="1"/>
      <c r="B36" s="1"/>
      <c r="C36" s="1"/>
      <c r="D36" s="1"/>
      <c r="E36" s="24"/>
      <c r="F36" s="24"/>
      <c r="G36" s="24"/>
      <c r="H36" s="24"/>
      <c r="I36" s="2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4"/>
      <c r="AI36" s="4"/>
      <c r="AJ36" s="1"/>
      <c r="AK36" s="1"/>
      <c r="AL36" s="1"/>
      <c r="AM36" s="1"/>
      <c r="AN36" s="1"/>
      <c r="AO36" s="1"/>
      <c r="AP36" s="1"/>
    </row>
    <row r="37" ht="12.75" customHeight="1">
      <c r="A37" s="1"/>
      <c r="B37" s="1" t="s">
        <v>50</v>
      </c>
      <c r="C37" s="1"/>
      <c r="D37" s="1"/>
      <c r="E37" s="59">
        <v>0.0</v>
      </c>
      <c r="F37" s="59">
        <f t="shared" ref="F37:AG37" si="45">E40</f>
        <v>0</v>
      </c>
      <c r="G37" s="59">
        <f t="shared" si="45"/>
        <v>0</v>
      </c>
      <c r="H37" s="59">
        <f t="shared" si="45"/>
        <v>0</v>
      </c>
      <c r="I37" s="59">
        <f t="shared" si="45"/>
        <v>0</v>
      </c>
      <c r="J37" s="16">
        <f t="shared" si="45"/>
        <v>0</v>
      </c>
      <c r="K37" s="16">
        <f t="shared" si="45"/>
        <v>0</v>
      </c>
      <c r="L37" s="16">
        <f t="shared" si="45"/>
        <v>0</v>
      </c>
      <c r="M37" s="16">
        <f t="shared" si="45"/>
        <v>0</v>
      </c>
      <c r="N37" s="16">
        <f t="shared" si="45"/>
        <v>300</v>
      </c>
      <c r="O37" s="16">
        <f t="shared" si="45"/>
        <v>570</v>
      </c>
      <c r="P37" s="16">
        <f t="shared" si="45"/>
        <v>713</v>
      </c>
      <c r="Q37" s="16">
        <f t="shared" si="45"/>
        <v>841.7</v>
      </c>
      <c r="R37" s="16">
        <f t="shared" si="45"/>
        <v>957.53</v>
      </c>
      <c r="S37" s="16">
        <f t="shared" si="45"/>
        <v>1361.777</v>
      </c>
      <c r="T37" s="16">
        <f t="shared" si="45"/>
        <v>1725.5993</v>
      </c>
      <c r="U37" s="16">
        <f t="shared" si="45"/>
        <v>2053.03937</v>
      </c>
      <c r="V37" s="16">
        <f t="shared" si="45"/>
        <v>2347.735433</v>
      </c>
      <c r="W37" s="16">
        <f t="shared" si="45"/>
        <v>2612.96189</v>
      </c>
      <c r="X37" s="16">
        <f t="shared" si="45"/>
        <v>2851.665701</v>
      </c>
      <c r="Y37" s="16">
        <f t="shared" si="45"/>
        <v>3066.499131</v>
      </c>
      <c r="Z37" s="16">
        <f t="shared" si="45"/>
        <v>3559.849218</v>
      </c>
      <c r="AA37" s="16">
        <f t="shared" si="45"/>
        <v>4003.864296</v>
      </c>
      <c r="AB37" s="16">
        <f t="shared" si="45"/>
        <v>4403.477866</v>
      </c>
      <c r="AC37" s="16">
        <f t="shared" si="45"/>
        <v>4863.13008</v>
      </c>
      <c r="AD37" s="16">
        <f t="shared" si="45"/>
        <v>5276.817072</v>
      </c>
      <c r="AE37" s="16">
        <f t="shared" si="45"/>
        <v>5649.135364</v>
      </c>
      <c r="AF37" s="16">
        <f t="shared" si="45"/>
        <v>6284.221828</v>
      </c>
      <c r="AG37" s="16">
        <f t="shared" si="45"/>
        <v>6855.799645</v>
      </c>
      <c r="AH37" s="4"/>
      <c r="AI37" s="4"/>
      <c r="AJ37" s="16">
        <f>J37</f>
        <v>0</v>
      </c>
      <c r="AK37" s="16">
        <f t="shared" ref="AK37:AN37" si="46">AJ40</f>
        <v>2347.735433</v>
      </c>
      <c r="AL37" s="16">
        <f t="shared" si="46"/>
        <v>7370.219681</v>
      </c>
      <c r="AM37" s="16">
        <f t="shared" si="46"/>
        <v>16243.45538</v>
      </c>
      <c r="AN37" s="16">
        <f t="shared" si="46"/>
        <v>32423.37034</v>
      </c>
      <c r="AO37" s="1"/>
      <c r="AP37" s="1"/>
    </row>
    <row r="38" ht="12.75" customHeight="1">
      <c r="A38" s="1"/>
      <c r="B38" s="1" t="str">
        <f>+B29</f>
        <v>Units sold</v>
      </c>
      <c r="C38" s="1"/>
      <c r="D38" s="1"/>
      <c r="E38" s="59">
        <v>0.0</v>
      </c>
      <c r="F38" s="59">
        <v>0.0</v>
      </c>
      <c r="G38" s="59">
        <v>0.0</v>
      </c>
      <c r="H38" s="59">
        <v>0.0</v>
      </c>
      <c r="I38" s="59">
        <v>0.0</v>
      </c>
      <c r="J38" s="16">
        <f t="shared" ref="J38:AG38" si="47">J29</f>
        <v>0</v>
      </c>
      <c r="K38" s="16">
        <f t="shared" si="47"/>
        <v>0</v>
      </c>
      <c r="L38" s="16">
        <f t="shared" si="47"/>
        <v>0</v>
      </c>
      <c r="M38" s="16">
        <f t="shared" si="47"/>
        <v>300</v>
      </c>
      <c r="N38" s="16">
        <f t="shared" si="47"/>
        <v>300</v>
      </c>
      <c r="O38" s="16">
        <f t="shared" si="47"/>
        <v>200</v>
      </c>
      <c r="P38" s="16">
        <f t="shared" si="47"/>
        <v>200</v>
      </c>
      <c r="Q38" s="16">
        <f t="shared" si="47"/>
        <v>200</v>
      </c>
      <c r="R38" s="16">
        <f t="shared" si="47"/>
        <v>500</v>
      </c>
      <c r="S38" s="16">
        <f t="shared" si="47"/>
        <v>500</v>
      </c>
      <c r="T38" s="16">
        <f t="shared" si="47"/>
        <v>500</v>
      </c>
      <c r="U38" s="16">
        <f t="shared" si="47"/>
        <v>500</v>
      </c>
      <c r="V38" s="16">
        <f t="shared" si="47"/>
        <v>500</v>
      </c>
      <c r="W38" s="16">
        <f t="shared" si="47"/>
        <v>500</v>
      </c>
      <c r="X38" s="16">
        <f t="shared" si="47"/>
        <v>500</v>
      </c>
      <c r="Y38" s="16">
        <f t="shared" si="47"/>
        <v>800</v>
      </c>
      <c r="Z38" s="16">
        <f t="shared" si="47"/>
        <v>800</v>
      </c>
      <c r="AA38" s="16">
        <f t="shared" si="47"/>
        <v>800</v>
      </c>
      <c r="AB38" s="16">
        <f t="shared" si="47"/>
        <v>900</v>
      </c>
      <c r="AC38" s="16">
        <f t="shared" si="47"/>
        <v>900</v>
      </c>
      <c r="AD38" s="16">
        <f t="shared" si="47"/>
        <v>900</v>
      </c>
      <c r="AE38" s="16">
        <f t="shared" si="47"/>
        <v>1200</v>
      </c>
      <c r="AF38" s="16">
        <f t="shared" si="47"/>
        <v>1200</v>
      </c>
      <c r="AG38" s="16">
        <f t="shared" si="47"/>
        <v>1200</v>
      </c>
      <c r="AH38" s="4"/>
      <c r="AI38" s="4"/>
      <c r="AJ38" s="16">
        <f t="shared" ref="AJ38:AJ39" si="50">SUM(J38:U38)</f>
        <v>3200</v>
      </c>
      <c r="AK38" s="16">
        <f t="shared" ref="AK38:AK39" si="51">SUM(V38:AG38)</f>
        <v>10200</v>
      </c>
      <c r="AL38" s="16">
        <f t="shared" ref="AL38:AN38" si="48">AL29</f>
        <v>27300</v>
      </c>
      <c r="AM38" s="16">
        <f t="shared" si="48"/>
        <v>58305</v>
      </c>
      <c r="AN38" s="16">
        <f t="shared" si="48"/>
        <v>124569.9</v>
      </c>
      <c r="AO38" s="1"/>
      <c r="AP38" s="1"/>
    </row>
    <row r="39" ht="12.75" customHeight="1">
      <c r="A39" s="1"/>
      <c r="B39" s="1" t="s">
        <v>51</v>
      </c>
      <c r="C39" s="1"/>
      <c r="D39" s="1"/>
      <c r="E39" s="59">
        <v>0.0</v>
      </c>
      <c r="F39" s="59">
        <v>0.0</v>
      </c>
      <c r="G39" s="59">
        <v>0.0</v>
      </c>
      <c r="H39" s="59">
        <v>0.0</v>
      </c>
      <c r="I39" s="59">
        <v>0.0</v>
      </c>
      <c r="J39" s="16">
        <f t="shared" ref="J39:AG39" si="49">J37*J35</f>
        <v>0</v>
      </c>
      <c r="K39" s="16">
        <f t="shared" si="49"/>
        <v>0</v>
      </c>
      <c r="L39" s="16">
        <f t="shared" si="49"/>
        <v>0</v>
      </c>
      <c r="M39" s="16">
        <f t="shared" si="49"/>
        <v>0</v>
      </c>
      <c r="N39" s="16">
        <f t="shared" si="49"/>
        <v>30</v>
      </c>
      <c r="O39" s="16">
        <f t="shared" si="49"/>
        <v>57</v>
      </c>
      <c r="P39" s="16">
        <f t="shared" si="49"/>
        <v>71.3</v>
      </c>
      <c r="Q39" s="16">
        <f t="shared" si="49"/>
        <v>84.17</v>
      </c>
      <c r="R39" s="16">
        <f t="shared" si="49"/>
        <v>95.753</v>
      </c>
      <c r="S39" s="16">
        <f t="shared" si="49"/>
        <v>136.1777</v>
      </c>
      <c r="T39" s="16">
        <f t="shared" si="49"/>
        <v>172.55993</v>
      </c>
      <c r="U39" s="16">
        <f t="shared" si="49"/>
        <v>205.303937</v>
      </c>
      <c r="V39" s="16">
        <f t="shared" si="49"/>
        <v>234.7735433</v>
      </c>
      <c r="W39" s="16">
        <f t="shared" si="49"/>
        <v>261.296189</v>
      </c>
      <c r="X39" s="16">
        <f t="shared" si="49"/>
        <v>285.1665701</v>
      </c>
      <c r="Y39" s="16">
        <f t="shared" si="49"/>
        <v>306.6499131</v>
      </c>
      <c r="Z39" s="16">
        <f t="shared" si="49"/>
        <v>355.9849218</v>
      </c>
      <c r="AA39" s="16">
        <f t="shared" si="49"/>
        <v>400.3864296</v>
      </c>
      <c r="AB39" s="16">
        <f t="shared" si="49"/>
        <v>440.3477866</v>
      </c>
      <c r="AC39" s="16">
        <f t="shared" si="49"/>
        <v>486.313008</v>
      </c>
      <c r="AD39" s="16">
        <f t="shared" si="49"/>
        <v>527.6817072</v>
      </c>
      <c r="AE39" s="16">
        <f t="shared" si="49"/>
        <v>564.9135364</v>
      </c>
      <c r="AF39" s="16">
        <f t="shared" si="49"/>
        <v>628.4221828</v>
      </c>
      <c r="AG39" s="16">
        <f t="shared" si="49"/>
        <v>685.5799645</v>
      </c>
      <c r="AH39" s="4"/>
      <c r="AI39" s="4"/>
      <c r="AJ39" s="16">
        <f t="shared" si="50"/>
        <v>852.264567</v>
      </c>
      <c r="AK39" s="16">
        <f t="shared" si="51"/>
        <v>5177.515752</v>
      </c>
      <c r="AL39" s="16">
        <f>+'Churn Year 3-5'!S10</f>
        <v>18426.76431</v>
      </c>
      <c r="AM39" s="16">
        <f>+'Churn Year 3-5'!S19</f>
        <v>42125.08504</v>
      </c>
      <c r="AN39" s="16">
        <f>+'Churn Year 3-5'!S28</f>
        <v>84775.78078</v>
      </c>
      <c r="AO39" s="1"/>
      <c r="AP39" s="1"/>
    </row>
    <row r="40" ht="12.75" customHeight="1">
      <c r="A40" s="1"/>
      <c r="B40" s="28" t="s">
        <v>52</v>
      </c>
      <c r="C40" s="28"/>
      <c r="D40" s="28"/>
      <c r="E40" s="61">
        <f t="shared" ref="E40:AG40" si="52">E37+E38-E39</f>
        <v>0</v>
      </c>
      <c r="F40" s="61">
        <f t="shared" si="52"/>
        <v>0</v>
      </c>
      <c r="G40" s="61">
        <f t="shared" si="52"/>
        <v>0</v>
      </c>
      <c r="H40" s="61">
        <f t="shared" si="52"/>
        <v>0</v>
      </c>
      <c r="I40" s="61">
        <f t="shared" si="52"/>
        <v>0</v>
      </c>
      <c r="J40" s="29">
        <f t="shared" si="52"/>
        <v>0</v>
      </c>
      <c r="K40" s="29">
        <f t="shared" si="52"/>
        <v>0</v>
      </c>
      <c r="L40" s="29">
        <f t="shared" si="52"/>
        <v>0</v>
      </c>
      <c r="M40" s="29">
        <f t="shared" si="52"/>
        <v>300</v>
      </c>
      <c r="N40" s="29">
        <f t="shared" si="52"/>
        <v>570</v>
      </c>
      <c r="O40" s="29">
        <f t="shared" si="52"/>
        <v>713</v>
      </c>
      <c r="P40" s="29">
        <f t="shared" si="52"/>
        <v>841.7</v>
      </c>
      <c r="Q40" s="29">
        <f t="shared" si="52"/>
        <v>957.53</v>
      </c>
      <c r="R40" s="29">
        <f t="shared" si="52"/>
        <v>1361.777</v>
      </c>
      <c r="S40" s="29">
        <f t="shared" si="52"/>
        <v>1725.5993</v>
      </c>
      <c r="T40" s="29">
        <f t="shared" si="52"/>
        <v>2053.03937</v>
      </c>
      <c r="U40" s="29">
        <f t="shared" si="52"/>
        <v>2347.735433</v>
      </c>
      <c r="V40" s="29">
        <f t="shared" si="52"/>
        <v>2612.96189</v>
      </c>
      <c r="W40" s="29">
        <f t="shared" si="52"/>
        <v>2851.665701</v>
      </c>
      <c r="X40" s="29">
        <f t="shared" si="52"/>
        <v>3066.499131</v>
      </c>
      <c r="Y40" s="29">
        <f t="shared" si="52"/>
        <v>3559.849218</v>
      </c>
      <c r="Z40" s="29">
        <f t="shared" si="52"/>
        <v>4003.864296</v>
      </c>
      <c r="AA40" s="29">
        <f t="shared" si="52"/>
        <v>4403.477866</v>
      </c>
      <c r="AB40" s="29">
        <f t="shared" si="52"/>
        <v>4863.13008</v>
      </c>
      <c r="AC40" s="29">
        <f t="shared" si="52"/>
        <v>5276.817072</v>
      </c>
      <c r="AD40" s="29">
        <f t="shared" si="52"/>
        <v>5649.135364</v>
      </c>
      <c r="AE40" s="29">
        <f t="shared" si="52"/>
        <v>6284.221828</v>
      </c>
      <c r="AF40" s="29">
        <f t="shared" si="52"/>
        <v>6855.799645</v>
      </c>
      <c r="AG40" s="29">
        <f t="shared" si="52"/>
        <v>7370.219681</v>
      </c>
      <c r="AH40" s="4"/>
      <c r="AI40" s="4"/>
      <c r="AJ40" s="29">
        <f t="shared" ref="AJ40:AN40" si="53">AJ37+AJ38-AJ39</f>
        <v>2347.735433</v>
      </c>
      <c r="AK40" s="29">
        <f t="shared" si="53"/>
        <v>7370.219681</v>
      </c>
      <c r="AL40" s="29">
        <f t="shared" si="53"/>
        <v>16243.45538</v>
      </c>
      <c r="AM40" s="29">
        <f t="shared" si="53"/>
        <v>32423.37034</v>
      </c>
      <c r="AN40" s="29">
        <f t="shared" si="53"/>
        <v>72217.48956</v>
      </c>
      <c r="AO40" s="1"/>
      <c r="AP40" s="1"/>
    </row>
    <row r="41" ht="12.75" customHeight="1">
      <c r="A41" s="1"/>
      <c r="B41" s="1"/>
      <c r="C41" s="1"/>
      <c r="D41" s="1"/>
      <c r="E41" s="24"/>
      <c r="F41" s="24"/>
      <c r="G41" s="24"/>
      <c r="H41" s="24"/>
      <c r="I41" s="24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4"/>
      <c r="AI41" s="4"/>
      <c r="AJ41" s="1"/>
      <c r="AK41" s="1"/>
      <c r="AL41" s="1"/>
      <c r="AM41" s="1"/>
      <c r="AN41" s="1"/>
      <c r="AO41" s="1"/>
      <c r="AP41" s="1"/>
    </row>
    <row r="42" ht="12.75" customHeight="1">
      <c r="A42" s="1"/>
      <c r="B42" s="62" t="s">
        <v>53</v>
      </c>
      <c r="C42" s="63"/>
      <c r="D42" s="63"/>
      <c r="E42" s="64"/>
      <c r="F42" s="64"/>
      <c r="G42" s="64"/>
      <c r="H42" s="64"/>
      <c r="I42" s="64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6"/>
      <c r="AI42" s="66"/>
      <c r="AJ42" s="63"/>
      <c r="AK42" s="63"/>
      <c r="AL42" s="63"/>
      <c r="AM42" s="63"/>
      <c r="AN42" s="63"/>
      <c r="AO42" s="1"/>
      <c r="AP42" s="1"/>
    </row>
    <row r="43" ht="12.75" customHeight="1">
      <c r="A43" s="1"/>
      <c r="B43" s="1"/>
      <c r="C43" s="1"/>
      <c r="D43" s="1"/>
      <c r="E43" s="24"/>
      <c r="F43" s="24"/>
      <c r="G43" s="24"/>
      <c r="H43" s="24"/>
      <c r="I43" s="24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4"/>
      <c r="AI43" s="4"/>
      <c r="AJ43" s="1"/>
      <c r="AK43" s="1"/>
      <c r="AL43" s="1"/>
      <c r="AM43" s="1"/>
      <c r="AN43" s="1"/>
      <c r="AO43" s="1"/>
      <c r="AP43" s="1"/>
    </row>
    <row r="44" ht="12.75" customHeight="1">
      <c r="A44" s="12"/>
      <c r="B44" s="12" t="str">
        <f>+B38</f>
        <v>Units sold</v>
      </c>
      <c r="C44" s="12"/>
      <c r="D44" s="12"/>
      <c r="E44" s="67">
        <f t="shared" ref="E44:AG44" si="54">+E38</f>
        <v>0</v>
      </c>
      <c r="F44" s="67">
        <f t="shared" si="54"/>
        <v>0</v>
      </c>
      <c r="G44" s="67">
        <f t="shared" si="54"/>
        <v>0</v>
      </c>
      <c r="H44" s="67">
        <f t="shared" si="54"/>
        <v>0</v>
      </c>
      <c r="I44" s="67">
        <f t="shared" si="54"/>
        <v>0</v>
      </c>
      <c r="J44" s="68">
        <f t="shared" si="54"/>
        <v>0</v>
      </c>
      <c r="K44" s="68">
        <f t="shared" si="54"/>
        <v>0</v>
      </c>
      <c r="L44" s="68">
        <f t="shared" si="54"/>
        <v>0</v>
      </c>
      <c r="M44" s="68">
        <f t="shared" si="54"/>
        <v>300</v>
      </c>
      <c r="N44" s="68">
        <f t="shared" si="54"/>
        <v>300</v>
      </c>
      <c r="O44" s="68">
        <f t="shared" si="54"/>
        <v>200</v>
      </c>
      <c r="P44" s="68">
        <f t="shared" si="54"/>
        <v>200</v>
      </c>
      <c r="Q44" s="68">
        <f t="shared" si="54"/>
        <v>200</v>
      </c>
      <c r="R44" s="68">
        <f t="shared" si="54"/>
        <v>500</v>
      </c>
      <c r="S44" s="68">
        <f t="shared" si="54"/>
        <v>500</v>
      </c>
      <c r="T44" s="68">
        <f t="shared" si="54"/>
        <v>500</v>
      </c>
      <c r="U44" s="68">
        <f t="shared" si="54"/>
        <v>500</v>
      </c>
      <c r="V44" s="68">
        <f t="shared" si="54"/>
        <v>500</v>
      </c>
      <c r="W44" s="68">
        <f t="shared" si="54"/>
        <v>500</v>
      </c>
      <c r="X44" s="68">
        <f t="shared" si="54"/>
        <v>500</v>
      </c>
      <c r="Y44" s="68">
        <f t="shared" si="54"/>
        <v>800</v>
      </c>
      <c r="Z44" s="68">
        <f t="shared" si="54"/>
        <v>800</v>
      </c>
      <c r="AA44" s="68">
        <f t="shared" si="54"/>
        <v>800</v>
      </c>
      <c r="AB44" s="68">
        <f t="shared" si="54"/>
        <v>900</v>
      </c>
      <c r="AC44" s="68">
        <f t="shared" si="54"/>
        <v>900</v>
      </c>
      <c r="AD44" s="68">
        <f t="shared" si="54"/>
        <v>900</v>
      </c>
      <c r="AE44" s="68">
        <f t="shared" si="54"/>
        <v>1200</v>
      </c>
      <c r="AF44" s="68">
        <f t="shared" si="54"/>
        <v>1200</v>
      </c>
      <c r="AG44" s="68">
        <f t="shared" si="54"/>
        <v>1200</v>
      </c>
      <c r="AH44" s="69"/>
      <c r="AI44" s="69"/>
      <c r="AJ44" s="68">
        <f t="shared" ref="AJ44:AN44" si="55">+AJ38</f>
        <v>3200</v>
      </c>
      <c r="AK44" s="68">
        <f t="shared" si="55"/>
        <v>10200</v>
      </c>
      <c r="AL44" s="68">
        <f t="shared" si="55"/>
        <v>27300</v>
      </c>
      <c r="AM44" s="68">
        <f t="shared" si="55"/>
        <v>58305</v>
      </c>
      <c r="AN44" s="68">
        <f t="shared" si="55"/>
        <v>124569.9</v>
      </c>
      <c r="AO44" s="12"/>
      <c r="AP44" s="12"/>
    </row>
    <row r="45" ht="12.75" customHeight="1">
      <c r="A45" s="1"/>
      <c r="B45" s="70" t="s">
        <v>54</v>
      </c>
      <c r="C45" s="71"/>
      <c r="D45" s="71"/>
      <c r="E45" s="72">
        <f>E44</f>
        <v>0</v>
      </c>
      <c r="F45" s="72">
        <f t="shared" ref="F45:AG45" si="56">E45+F44</f>
        <v>0</v>
      </c>
      <c r="G45" s="72">
        <f t="shared" si="56"/>
        <v>0</v>
      </c>
      <c r="H45" s="72">
        <f t="shared" si="56"/>
        <v>0</v>
      </c>
      <c r="I45" s="72">
        <f t="shared" si="56"/>
        <v>0</v>
      </c>
      <c r="J45" s="73">
        <f t="shared" si="56"/>
        <v>0</v>
      </c>
      <c r="K45" s="73">
        <f t="shared" si="56"/>
        <v>0</v>
      </c>
      <c r="L45" s="73">
        <f t="shared" si="56"/>
        <v>0</v>
      </c>
      <c r="M45" s="73">
        <f t="shared" si="56"/>
        <v>300</v>
      </c>
      <c r="N45" s="73">
        <f t="shared" si="56"/>
        <v>600</v>
      </c>
      <c r="O45" s="73">
        <f t="shared" si="56"/>
        <v>800</v>
      </c>
      <c r="P45" s="73">
        <f t="shared" si="56"/>
        <v>1000</v>
      </c>
      <c r="Q45" s="73">
        <f t="shared" si="56"/>
        <v>1200</v>
      </c>
      <c r="R45" s="73">
        <f t="shared" si="56"/>
        <v>1700</v>
      </c>
      <c r="S45" s="73">
        <f t="shared" si="56"/>
        <v>2200</v>
      </c>
      <c r="T45" s="73">
        <f t="shared" si="56"/>
        <v>2700</v>
      </c>
      <c r="U45" s="73">
        <f t="shared" si="56"/>
        <v>3200</v>
      </c>
      <c r="V45" s="73">
        <f t="shared" si="56"/>
        <v>3700</v>
      </c>
      <c r="W45" s="74">
        <f t="shared" si="56"/>
        <v>4200</v>
      </c>
      <c r="X45" s="73">
        <f t="shared" si="56"/>
        <v>4700</v>
      </c>
      <c r="Y45" s="73">
        <f t="shared" si="56"/>
        <v>5500</v>
      </c>
      <c r="Z45" s="73">
        <f t="shared" si="56"/>
        <v>6300</v>
      </c>
      <c r="AA45" s="73">
        <f t="shared" si="56"/>
        <v>7100</v>
      </c>
      <c r="AB45" s="73">
        <f t="shared" si="56"/>
        <v>8000</v>
      </c>
      <c r="AC45" s="73">
        <f t="shared" si="56"/>
        <v>8900</v>
      </c>
      <c r="AD45" s="73">
        <f t="shared" si="56"/>
        <v>9800</v>
      </c>
      <c r="AE45" s="73">
        <f t="shared" si="56"/>
        <v>11000</v>
      </c>
      <c r="AF45" s="73">
        <f t="shared" si="56"/>
        <v>12200</v>
      </c>
      <c r="AG45" s="73">
        <f t="shared" si="56"/>
        <v>13400</v>
      </c>
      <c r="AH45" s="75"/>
      <c r="AI45" s="75"/>
      <c r="AJ45" s="73">
        <f>U45</f>
        <v>3200</v>
      </c>
      <c r="AK45" s="73">
        <f>AG45</f>
        <v>13400</v>
      </c>
      <c r="AL45" s="73">
        <f t="shared" ref="AL45:AN45" si="57">AK45+AL44</f>
        <v>40700</v>
      </c>
      <c r="AM45" s="73">
        <f t="shared" si="57"/>
        <v>99005</v>
      </c>
      <c r="AN45" s="76">
        <f t="shared" si="57"/>
        <v>223574.9</v>
      </c>
      <c r="AO45" s="1"/>
      <c r="AP45" s="1"/>
    </row>
    <row r="46" ht="12.75" customHeight="1">
      <c r="A46" s="1"/>
      <c r="B46" s="1"/>
      <c r="C46" s="1"/>
      <c r="D46" s="1"/>
      <c r="E46" s="77"/>
      <c r="F46" s="77"/>
      <c r="G46" s="77"/>
      <c r="H46" s="77"/>
      <c r="I46" s="77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5"/>
      <c r="AI46" s="75"/>
      <c r="AJ46" s="78"/>
      <c r="AK46" s="78"/>
      <c r="AL46" s="78"/>
      <c r="AM46" s="78"/>
      <c r="AN46" s="78"/>
      <c r="AO46" s="1"/>
      <c r="AP46" s="1"/>
    </row>
    <row r="47" ht="12.75" customHeight="1">
      <c r="A47" s="12"/>
      <c r="B47" s="12" t="str">
        <f>+B40</f>
        <v>Active units EoP</v>
      </c>
      <c r="C47" s="12"/>
      <c r="D47" s="12"/>
      <c r="E47" s="67">
        <f t="shared" ref="E47:AG47" si="58">+E40</f>
        <v>0</v>
      </c>
      <c r="F47" s="67">
        <f t="shared" si="58"/>
        <v>0</v>
      </c>
      <c r="G47" s="67">
        <f t="shared" si="58"/>
        <v>0</v>
      </c>
      <c r="H47" s="67">
        <f t="shared" si="58"/>
        <v>0</v>
      </c>
      <c r="I47" s="67">
        <f t="shared" si="58"/>
        <v>0</v>
      </c>
      <c r="J47" s="68">
        <f t="shared" si="58"/>
        <v>0</v>
      </c>
      <c r="K47" s="68">
        <f t="shared" si="58"/>
        <v>0</v>
      </c>
      <c r="L47" s="68">
        <f t="shared" si="58"/>
        <v>0</v>
      </c>
      <c r="M47" s="68">
        <f t="shared" si="58"/>
        <v>300</v>
      </c>
      <c r="N47" s="68">
        <f t="shared" si="58"/>
        <v>570</v>
      </c>
      <c r="O47" s="68">
        <f t="shared" si="58"/>
        <v>713</v>
      </c>
      <c r="P47" s="68">
        <f t="shared" si="58"/>
        <v>841.7</v>
      </c>
      <c r="Q47" s="68">
        <f t="shared" si="58"/>
        <v>957.53</v>
      </c>
      <c r="R47" s="68">
        <f t="shared" si="58"/>
        <v>1361.777</v>
      </c>
      <c r="S47" s="68">
        <f t="shared" si="58"/>
        <v>1725.5993</v>
      </c>
      <c r="T47" s="68">
        <f t="shared" si="58"/>
        <v>2053.03937</v>
      </c>
      <c r="U47" s="68">
        <f t="shared" si="58"/>
        <v>2347.735433</v>
      </c>
      <c r="V47" s="68">
        <f t="shared" si="58"/>
        <v>2612.96189</v>
      </c>
      <c r="W47" s="68">
        <f t="shared" si="58"/>
        <v>2851.665701</v>
      </c>
      <c r="X47" s="68">
        <f t="shared" si="58"/>
        <v>3066.499131</v>
      </c>
      <c r="Y47" s="68">
        <f t="shared" si="58"/>
        <v>3559.849218</v>
      </c>
      <c r="Z47" s="68">
        <f t="shared" si="58"/>
        <v>4003.864296</v>
      </c>
      <c r="AA47" s="68">
        <f t="shared" si="58"/>
        <v>4403.477866</v>
      </c>
      <c r="AB47" s="68">
        <f t="shared" si="58"/>
        <v>4863.13008</v>
      </c>
      <c r="AC47" s="68">
        <f t="shared" si="58"/>
        <v>5276.817072</v>
      </c>
      <c r="AD47" s="68">
        <f t="shared" si="58"/>
        <v>5649.135364</v>
      </c>
      <c r="AE47" s="68">
        <f t="shared" si="58"/>
        <v>6284.221828</v>
      </c>
      <c r="AF47" s="68">
        <f t="shared" si="58"/>
        <v>6855.799645</v>
      </c>
      <c r="AG47" s="68">
        <f t="shared" si="58"/>
        <v>7370.219681</v>
      </c>
      <c r="AH47" s="69"/>
      <c r="AI47" s="69"/>
      <c r="AJ47" s="68">
        <f t="shared" ref="AJ47:AN47" si="59">+AJ40</f>
        <v>2347.735433</v>
      </c>
      <c r="AK47" s="68">
        <f t="shared" si="59"/>
        <v>7370.219681</v>
      </c>
      <c r="AL47" s="68">
        <f t="shared" si="59"/>
        <v>16243.45538</v>
      </c>
      <c r="AM47" s="68">
        <f t="shared" si="59"/>
        <v>32423.37034</v>
      </c>
      <c r="AN47" s="68">
        <f t="shared" si="59"/>
        <v>72217.48956</v>
      </c>
      <c r="AO47" s="12"/>
      <c r="AP47" s="12"/>
    </row>
    <row r="48" ht="12.75" customHeight="1">
      <c r="A48" s="1"/>
      <c r="B48" s="70" t="s">
        <v>55</v>
      </c>
      <c r="C48" s="71"/>
      <c r="D48" s="71"/>
      <c r="E48" s="72">
        <v>0.0</v>
      </c>
      <c r="F48" s="72">
        <v>0.0</v>
      </c>
      <c r="G48" s="72">
        <v>0.0</v>
      </c>
      <c r="H48" s="72">
        <v>0.0</v>
      </c>
      <c r="I48" s="72">
        <v>0.0</v>
      </c>
      <c r="J48" s="73">
        <f t="shared" ref="J48:AG48" si="60">G40*(1-J35)*(1-I35)*(1-H35)</f>
        <v>0</v>
      </c>
      <c r="K48" s="73">
        <f t="shared" si="60"/>
        <v>0</v>
      </c>
      <c r="L48" s="73">
        <f t="shared" si="60"/>
        <v>0</v>
      </c>
      <c r="M48" s="73">
        <f t="shared" si="60"/>
        <v>0</v>
      </c>
      <c r="N48" s="73">
        <f t="shared" si="60"/>
        <v>0</v>
      </c>
      <c r="O48" s="73">
        <f t="shared" si="60"/>
        <v>0</v>
      </c>
      <c r="P48" s="73">
        <f t="shared" si="60"/>
        <v>218.7</v>
      </c>
      <c r="Q48" s="73">
        <f t="shared" si="60"/>
        <v>415.53</v>
      </c>
      <c r="R48" s="73">
        <f t="shared" si="60"/>
        <v>519.777</v>
      </c>
      <c r="S48" s="73">
        <f t="shared" si="60"/>
        <v>613.5993</v>
      </c>
      <c r="T48" s="73">
        <f t="shared" si="60"/>
        <v>698.03937</v>
      </c>
      <c r="U48" s="73">
        <f t="shared" si="60"/>
        <v>992.735433</v>
      </c>
      <c r="V48" s="73">
        <f t="shared" si="60"/>
        <v>1257.96189</v>
      </c>
      <c r="W48" s="73">
        <f t="shared" si="60"/>
        <v>1496.665701</v>
      </c>
      <c r="X48" s="73">
        <f t="shared" si="60"/>
        <v>1711.499131</v>
      </c>
      <c r="Y48" s="73">
        <f t="shared" si="60"/>
        <v>1904.849218</v>
      </c>
      <c r="Z48" s="74">
        <f t="shared" si="60"/>
        <v>2078.864296</v>
      </c>
      <c r="AA48" s="73">
        <f t="shared" si="60"/>
        <v>2235.477866</v>
      </c>
      <c r="AB48" s="73">
        <f t="shared" si="60"/>
        <v>2595.13008</v>
      </c>
      <c r="AC48" s="73">
        <f t="shared" si="60"/>
        <v>2918.817072</v>
      </c>
      <c r="AD48" s="73">
        <f t="shared" si="60"/>
        <v>3210.135364</v>
      </c>
      <c r="AE48" s="73">
        <f t="shared" si="60"/>
        <v>3545.221828</v>
      </c>
      <c r="AF48" s="73">
        <f t="shared" si="60"/>
        <v>3846.799645</v>
      </c>
      <c r="AG48" s="73">
        <f t="shared" si="60"/>
        <v>4118.219681</v>
      </c>
      <c r="AH48" s="75"/>
      <c r="AI48" s="75"/>
      <c r="AJ48" s="73">
        <f>U48</f>
        <v>992.735433</v>
      </c>
      <c r="AK48" s="73">
        <f>AG48</f>
        <v>4118.219681</v>
      </c>
      <c r="AL48" s="79">
        <f>+'Churn Year 3-5'!O11*(1-'Churn Year 3-5'!C10)^3</f>
        <v>7746.612457</v>
      </c>
      <c r="AM48" s="79">
        <f>+'Churn Year 3-5'!O20*(1-'Churn Year 3-5'!C19)^3</f>
        <v>17191.21866</v>
      </c>
      <c r="AN48" s="80">
        <f>+'Churn Year 3-5'!O29*(1-'Churn Year 3-5'!C28)^3</f>
        <v>35641.84599</v>
      </c>
      <c r="AO48" s="1"/>
      <c r="AP48" s="1"/>
    </row>
    <row r="49" ht="12.75" customHeight="1">
      <c r="A49" s="1"/>
      <c r="B49" s="1"/>
      <c r="C49" s="1"/>
      <c r="D49" s="1"/>
      <c r="E49" s="81"/>
      <c r="F49" s="81"/>
      <c r="G49" s="81"/>
      <c r="H49" s="81"/>
      <c r="I49" s="81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2"/>
      <c r="AI49" s="82"/>
      <c r="AJ49" s="8"/>
      <c r="AK49" s="8"/>
      <c r="AL49" s="8"/>
      <c r="AM49" s="8"/>
      <c r="AN49" s="8"/>
      <c r="AO49" s="1"/>
      <c r="AP49" s="1"/>
    </row>
    <row r="50" ht="12.75" customHeight="1">
      <c r="A50" s="12"/>
      <c r="B50" s="12" t="str">
        <f>+B114</f>
        <v>Total revenue ($000)</v>
      </c>
      <c r="C50" s="12"/>
      <c r="D50" s="12"/>
      <c r="E50" s="83">
        <f t="shared" ref="E50:AG50" si="61">+E114</f>
        <v>0</v>
      </c>
      <c r="F50" s="83">
        <f t="shared" si="61"/>
        <v>0</v>
      </c>
      <c r="G50" s="83">
        <f t="shared" si="61"/>
        <v>0</v>
      </c>
      <c r="H50" s="83">
        <f t="shared" si="61"/>
        <v>0</v>
      </c>
      <c r="I50" s="83">
        <f t="shared" si="61"/>
        <v>0</v>
      </c>
      <c r="J50" s="84">
        <f t="shared" si="61"/>
        <v>0</v>
      </c>
      <c r="K50" s="84">
        <f t="shared" si="61"/>
        <v>0</v>
      </c>
      <c r="L50" s="84">
        <f t="shared" si="61"/>
        <v>0</v>
      </c>
      <c r="M50" s="84">
        <f t="shared" si="61"/>
        <v>122.25</v>
      </c>
      <c r="N50" s="84">
        <f t="shared" si="61"/>
        <v>126.525</v>
      </c>
      <c r="O50" s="84">
        <f t="shared" si="61"/>
        <v>89.6225</v>
      </c>
      <c r="P50" s="84">
        <f t="shared" si="61"/>
        <v>91.66025</v>
      </c>
      <c r="Q50" s="84">
        <f t="shared" si="61"/>
        <v>93.494225</v>
      </c>
      <c r="R50" s="84">
        <f t="shared" si="61"/>
        <v>217.3948025</v>
      </c>
      <c r="S50" s="84">
        <f t="shared" si="61"/>
        <v>223.1553223</v>
      </c>
      <c r="T50" s="84">
        <f t="shared" si="61"/>
        <v>228.33979</v>
      </c>
      <c r="U50" s="84">
        <f t="shared" si="61"/>
        <v>233.005811</v>
      </c>
      <c r="V50" s="84">
        <f t="shared" si="61"/>
        <v>237.2052299</v>
      </c>
      <c r="W50" s="84">
        <f t="shared" si="61"/>
        <v>240.9847069</v>
      </c>
      <c r="X50" s="84">
        <f t="shared" si="61"/>
        <v>244.3862362</v>
      </c>
      <c r="Y50" s="84">
        <f t="shared" si="61"/>
        <v>369.6976126</v>
      </c>
      <c r="Z50" s="84">
        <f t="shared" si="61"/>
        <v>376.7278514</v>
      </c>
      <c r="AA50" s="84">
        <f t="shared" si="61"/>
        <v>383.0550662</v>
      </c>
      <c r="AB50" s="84">
        <f t="shared" si="61"/>
        <v>429.4995596</v>
      </c>
      <c r="AC50" s="84">
        <f t="shared" si="61"/>
        <v>436.0496036</v>
      </c>
      <c r="AD50" s="84">
        <f t="shared" si="61"/>
        <v>441.9446433</v>
      </c>
      <c r="AE50" s="84">
        <f t="shared" si="61"/>
        <v>569.5001789</v>
      </c>
      <c r="AF50" s="84">
        <f t="shared" si="61"/>
        <v>578.550161</v>
      </c>
      <c r="AG50" s="84">
        <f t="shared" si="61"/>
        <v>586.6951449</v>
      </c>
      <c r="AH50" s="85"/>
      <c r="AI50" s="85"/>
      <c r="AJ50" s="84">
        <f t="shared" ref="AJ50:AN50" si="62">+AJ114</f>
        <v>1425.447701</v>
      </c>
      <c r="AK50" s="84">
        <f t="shared" si="62"/>
        <v>4894.295995</v>
      </c>
      <c r="AL50" s="84">
        <f t="shared" si="62"/>
        <v>12829.2257</v>
      </c>
      <c r="AM50" s="84">
        <f t="shared" si="62"/>
        <v>27655.85787</v>
      </c>
      <c r="AN50" s="84">
        <f t="shared" si="62"/>
        <v>58603.99397</v>
      </c>
      <c r="AO50" s="12"/>
      <c r="AP50" s="12"/>
    </row>
    <row r="51" ht="12.75" customHeight="1">
      <c r="A51" s="12"/>
      <c r="B51" s="12"/>
      <c r="C51" s="12"/>
      <c r="D51" s="12"/>
      <c r="E51" s="83"/>
      <c r="F51" s="83"/>
      <c r="G51" s="83"/>
      <c r="H51" s="83"/>
      <c r="I51" s="83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5"/>
      <c r="AI51" s="85"/>
      <c r="AJ51" s="84"/>
      <c r="AK51" s="84"/>
      <c r="AL51" s="84"/>
      <c r="AM51" s="84"/>
      <c r="AN51" s="84"/>
      <c r="AO51" s="12"/>
      <c r="AP51" s="12"/>
    </row>
    <row r="52" ht="12.75" customHeight="1">
      <c r="A52" s="1"/>
      <c r="B52" s="12" t="str">
        <f>+B220</f>
        <v>Free cash flow ($000)</v>
      </c>
      <c r="C52" s="12"/>
      <c r="D52" s="12"/>
      <c r="E52" s="83">
        <f t="shared" ref="E52:AG52" si="63">+E220</f>
        <v>-208.3333333</v>
      </c>
      <c r="F52" s="83">
        <f t="shared" si="63"/>
        <v>-194.8333333</v>
      </c>
      <c r="G52" s="83">
        <f t="shared" si="63"/>
        <v>-205.7083333</v>
      </c>
      <c r="H52" s="83">
        <f t="shared" si="63"/>
        <v>-217.7083333</v>
      </c>
      <c r="I52" s="83">
        <f t="shared" si="63"/>
        <v>-223.7083333</v>
      </c>
      <c r="J52" s="84">
        <f t="shared" si="63"/>
        <v>-406.681875</v>
      </c>
      <c r="K52" s="84">
        <f t="shared" si="63"/>
        <v>-465.2927167</v>
      </c>
      <c r="L52" s="84">
        <f t="shared" si="63"/>
        <v>-528.8907482</v>
      </c>
      <c r="M52" s="84">
        <f t="shared" si="63"/>
        <v>-435.5485956</v>
      </c>
      <c r="N52" s="84">
        <f t="shared" si="63"/>
        <v>-308.8385597</v>
      </c>
      <c r="O52" s="84">
        <f t="shared" si="63"/>
        <v>-385.8394021</v>
      </c>
      <c r="P52" s="84">
        <f t="shared" si="63"/>
        <v>-510.3329844</v>
      </c>
      <c r="Q52" s="84">
        <f t="shared" si="63"/>
        <v>-393.9366182</v>
      </c>
      <c r="R52" s="84">
        <f t="shared" si="63"/>
        <v>-357.1645868</v>
      </c>
      <c r="S52" s="84">
        <f t="shared" si="63"/>
        <v>-503.3910775</v>
      </c>
      <c r="T52" s="84">
        <f t="shared" si="63"/>
        <v>-320.0454764</v>
      </c>
      <c r="U52" s="84">
        <f t="shared" si="63"/>
        <v>-378.3402594</v>
      </c>
      <c r="V52" s="84">
        <f t="shared" si="63"/>
        <v>-571.6058307</v>
      </c>
      <c r="W52" s="84">
        <f t="shared" si="63"/>
        <v>-427.0603385</v>
      </c>
      <c r="X52" s="84">
        <f t="shared" si="63"/>
        <v>-501.312829</v>
      </c>
      <c r="Y52" s="84">
        <f t="shared" si="63"/>
        <v>-614.6495737</v>
      </c>
      <c r="Z52" s="84">
        <f t="shared" si="63"/>
        <v>-383.2258669</v>
      </c>
      <c r="AA52" s="84">
        <f t="shared" si="63"/>
        <v>-470.6340581</v>
      </c>
      <c r="AB52" s="84">
        <f t="shared" si="63"/>
        <v>-681.4107896</v>
      </c>
      <c r="AC52" s="84">
        <f t="shared" si="63"/>
        <v>-409.2886071</v>
      </c>
      <c r="AD52" s="84">
        <f t="shared" si="63"/>
        <v>-497.1493053</v>
      </c>
      <c r="AE52" s="84">
        <f t="shared" si="63"/>
        <v>-644.2729303</v>
      </c>
      <c r="AF52" s="84">
        <f t="shared" si="63"/>
        <v>-361.7980939</v>
      </c>
      <c r="AG52" s="84">
        <f t="shared" si="63"/>
        <v>-478.3021669</v>
      </c>
      <c r="AH52" s="85"/>
      <c r="AI52" s="85"/>
      <c r="AJ52" s="84">
        <f t="shared" ref="AJ52:AN52" si="64">+AJ220</f>
        <v>-4994.3029</v>
      </c>
      <c r="AK52" s="84">
        <f t="shared" si="64"/>
        <v>-6040.71039</v>
      </c>
      <c r="AL52" s="84">
        <f t="shared" si="64"/>
        <v>-6890.751254</v>
      </c>
      <c r="AM52" s="84">
        <f t="shared" si="64"/>
        <v>-7579.320333</v>
      </c>
      <c r="AN52" s="84">
        <f t="shared" si="64"/>
        <v>-366.8124697</v>
      </c>
      <c r="AO52" s="1"/>
      <c r="AP52" s="1"/>
    </row>
    <row r="53" ht="12.75" customHeight="1">
      <c r="A53" s="1"/>
      <c r="B53" s="86" t="s">
        <v>56</v>
      </c>
      <c r="C53" s="12"/>
      <c r="D53" s="12"/>
      <c r="E53" s="83"/>
      <c r="F53" s="83"/>
      <c r="G53" s="83"/>
      <c r="H53" s="83"/>
      <c r="I53" s="83"/>
      <c r="J53" s="87"/>
      <c r="K53" s="87"/>
      <c r="L53" s="87">
        <v>0.0</v>
      </c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8"/>
      <c r="AH53" s="85"/>
      <c r="AI53" s="85"/>
      <c r="AJ53" s="27">
        <f t="shared" ref="AJ53:AJ54" si="65">SUM(J53:U53)</f>
        <v>0</v>
      </c>
      <c r="AK53" s="27">
        <f t="shared" ref="AK53:AK54" si="66">SUM(V53:AG53)</f>
        <v>0</v>
      </c>
      <c r="AL53" s="87"/>
      <c r="AM53" s="87"/>
      <c r="AN53" s="87"/>
      <c r="AO53" s="1"/>
      <c r="AP53" s="1"/>
    </row>
    <row r="54" ht="12.75" customHeight="1">
      <c r="A54" s="1"/>
      <c r="B54" s="86" t="s">
        <v>57</v>
      </c>
      <c r="C54" s="89"/>
      <c r="D54" s="89"/>
      <c r="E54" s="89">
        <v>0.0</v>
      </c>
      <c r="F54" s="89">
        <v>0.0</v>
      </c>
      <c r="G54" s="89">
        <v>0.0</v>
      </c>
      <c r="H54" s="89">
        <v>0.0</v>
      </c>
      <c r="I54" s="89">
        <v>0.0</v>
      </c>
      <c r="J54" s="87">
        <v>0.0</v>
      </c>
      <c r="K54" s="87">
        <v>0.0</v>
      </c>
      <c r="L54" s="87"/>
      <c r="M54" s="87">
        <v>0.0</v>
      </c>
      <c r="N54" s="87">
        <v>0.0</v>
      </c>
      <c r="O54" s="87">
        <v>0.0</v>
      </c>
      <c r="P54" s="87">
        <v>0.0</v>
      </c>
      <c r="Q54" s="87">
        <v>0.0</v>
      </c>
      <c r="R54" s="87">
        <v>0.0</v>
      </c>
      <c r="S54" s="87">
        <v>0.0</v>
      </c>
      <c r="T54" s="87">
        <v>0.0</v>
      </c>
      <c r="U54" s="87"/>
      <c r="V54" s="87">
        <v>0.0</v>
      </c>
      <c r="W54" s="87">
        <v>0.0</v>
      </c>
      <c r="X54" s="87">
        <v>0.0</v>
      </c>
      <c r="Y54" s="87">
        <v>0.0</v>
      </c>
      <c r="Z54" s="87">
        <v>0.0</v>
      </c>
      <c r="AA54" s="87">
        <v>0.0</v>
      </c>
      <c r="AB54" s="87">
        <v>0.0</v>
      </c>
      <c r="AC54" s="87">
        <v>0.0</v>
      </c>
      <c r="AD54" s="87">
        <v>0.0</v>
      </c>
      <c r="AE54" s="87">
        <v>0.0</v>
      </c>
      <c r="AF54" s="87"/>
      <c r="AG54" s="88">
        <v>0.0</v>
      </c>
      <c r="AH54" s="90"/>
      <c r="AI54" s="90"/>
      <c r="AJ54" s="27">
        <f t="shared" si="65"/>
        <v>0</v>
      </c>
      <c r="AK54" s="27">
        <f t="shared" si="66"/>
        <v>0</v>
      </c>
      <c r="AL54" s="87">
        <v>0.0</v>
      </c>
      <c r="AM54" s="87">
        <v>0.0</v>
      </c>
      <c r="AN54" s="87">
        <v>0.0</v>
      </c>
      <c r="AO54" s="1"/>
      <c r="AP54" s="1"/>
    </row>
    <row r="55" ht="12.75" customHeight="1">
      <c r="A55" s="12"/>
      <c r="B55" s="12" t="str">
        <f>+B223</f>
        <v>Cash balance - EoP ($000)</v>
      </c>
      <c r="C55" s="12"/>
      <c r="D55" s="12"/>
      <c r="E55" s="83">
        <f t="shared" ref="E55:AG55" si="67">+E223</f>
        <v>2791.666667</v>
      </c>
      <c r="F55" s="83">
        <f t="shared" si="67"/>
        <v>2596.833333</v>
      </c>
      <c r="G55" s="83">
        <f t="shared" si="67"/>
        <v>2391.125</v>
      </c>
      <c r="H55" s="83">
        <f t="shared" si="67"/>
        <v>2173.416667</v>
      </c>
      <c r="I55" s="83">
        <f t="shared" si="67"/>
        <v>1949.708333</v>
      </c>
      <c r="J55" s="84">
        <f t="shared" si="67"/>
        <v>1543.026458</v>
      </c>
      <c r="K55" s="84">
        <f t="shared" si="67"/>
        <v>1077.733742</v>
      </c>
      <c r="L55" s="84">
        <f t="shared" si="67"/>
        <v>548.8429935</v>
      </c>
      <c r="M55" s="84">
        <f t="shared" si="67"/>
        <v>113.2943979</v>
      </c>
      <c r="N55" s="84">
        <f t="shared" si="67"/>
        <v>-195.5441618</v>
      </c>
      <c r="O55" s="84">
        <f t="shared" si="67"/>
        <v>-581.383564</v>
      </c>
      <c r="P55" s="84">
        <f t="shared" si="67"/>
        <v>-1091.716548</v>
      </c>
      <c r="Q55" s="84">
        <f t="shared" si="67"/>
        <v>-1485.653167</v>
      </c>
      <c r="R55" s="84">
        <f t="shared" si="67"/>
        <v>-1842.817753</v>
      </c>
      <c r="S55" s="84">
        <f t="shared" si="67"/>
        <v>-2346.208831</v>
      </c>
      <c r="T55" s="84">
        <f t="shared" si="67"/>
        <v>-2666.254307</v>
      </c>
      <c r="U55" s="84">
        <f t="shared" si="67"/>
        <v>-3044.594567</v>
      </c>
      <c r="V55" s="84">
        <f t="shared" si="67"/>
        <v>-3616.200397</v>
      </c>
      <c r="W55" s="84">
        <f t="shared" si="67"/>
        <v>-4043.260736</v>
      </c>
      <c r="X55" s="84">
        <f t="shared" si="67"/>
        <v>-4544.573565</v>
      </c>
      <c r="Y55" s="84">
        <f t="shared" si="67"/>
        <v>-5159.223139</v>
      </c>
      <c r="Z55" s="84">
        <f t="shared" si="67"/>
        <v>-5542.449006</v>
      </c>
      <c r="AA55" s="84">
        <f t="shared" si="67"/>
        <v>-6013.083064</v>
      </c>
      <c r="AB55" s="84">
        <f t="shared" si="67"/>
        <v>-6694.493853</v>
      </c>
      <c r="AC55" s="84">
        <f t="shared" si="67"/>
        <v>-7103.78246</v>
      </c>
      <c r="AD55" s="84">
        <f t="shared" si="67"/>
        <v>-7600.931766</v>
      </c>
      <c r="AE55" s="84">
        <f t="shared" si="67"/>
        <v>-8245.204696</v>
      </c>
      <c r="AF55" s="84">
        <f t="shared" si="67"/>
        <v>-8607.00279</v>
      </c>
      <c r="AG55" s="84">
        <f t="shared" si="67"/>
        <v>-9085.304957</v>
      </c>
      <c r="AH55" s="85"/>
      <c r="AI55" s="85"/>
      <c r="AJ55" s="84">
        <f t="shared" ref="AJ55:AN55" si="68">+AJ223</f>
        <v>-3044.594567</v>
      </c>
      <c r="AK55" s="84">
        <f t="shared" si="68"/>
        <v>-9085.304957</v>
      </c>
      <c r="AL55" s="84">
        <f t="shared" si="68"/>
        <v>-15976.05621</v>
      </c>
      <c r="AM55" s="84">
        <f t="shared" si="68"/>
        <v>-23555.37654</v>
      </c>
      <c r="AN55" s="84">
        <f t="shared" si="68"/>
        <v>-23922.18901</v>
      </c>
      <c r="AO55" s="12"/>
      <c r="AP55" s="12"/>
    </row>
    <row r="56" ht="12.75" customHeight="1">
      <c r="A56" s="1"/>
      <c r="B56" s="1"/>
      <c r="C56" s="1"/>
      <c r="D56" s="1"/>
      <c r="E56" s="91">
        <f t="shared" ref="E56:AG56" si="69">+E5</f>
        <v>44804</v>
      </c>
      <c r="F56" s="91">
        <f t="shared" si="69"/>
        <v>44834</v>
      </c>
      <c r="G56" s="91">
        <f t="shared" si="69"/>
        <v>44865</v>
      </c>
      <c r="H56" s="91">
        <f t="shared" si="69"/>
        <v>44895</v>
      </c>
      <c r="I56" s="91">
        <f t="shared" si="69"/>
        <v>44926</v>
      </c>
      <c r="J56" s="92">
        <f t="shared" si="69"/>
        <v>44957</v>
      </c>
      <c r="K56" s="92">
        <f t="shared" si="69"/>
        <v>44985</v>
      </c>
      <c r="L56" s="92">
        <f t="shared" si="69"/>
        <v>45016</v>
      </c>
      <c r="M56" s="92">
        <f t="shared" si="69"/>
        <v>45046</v>
      </c>
      <c r="N56" s="92">
        <f t="shared" si="69"/>
        <v>45077</v>
      </c>
      <c r="O56" s="92">
        <f t="shared" si="69"/>
        <v>45107</v>
      </c>
      <c r="P56" s="92">
        <f t="shared" si="69"/>
        <v>45138</v>
      </c>
      <c r="Q56" s="92">
        <f t="shared" si="69"/>
        <v>45169</v>
      </c>
      <c r="R56" s="92">
        <f t="shared" si="69"/>
        <v>45199</v>
      </c>
      <c r="S56" s="92">
        <f t="shared" si="69"/>
        <v>45230</v>
      </c>
      <c r="T56" s="92">
        <f t="shared" si="69"/>
        <v>45260</v>
      </c>
      <c r="U56" s="92">
        <f t="shared" si="69"/>
        <v>45291</v>
      </c>
      <c r="V56" s="92">
        <f t="shared" si="69"/>
        <v>45322</v>
      </c>
      <c r="W56" s="92">
        <f t="shared" si="69"/>
        <v>45351</v>
      </c>
      <c r="X56" s="92">
        <f t="shared" si="69"/>
        <v>45382</v>
      </c>
      <c r="Y56" s="92">
        <f t="shared" si="69"/>
        <v>45412</v>
      </c>
      <c r="Z56" s="92">
        <f t="shared" si="69"/>
        <v>45443</v>
      </c>
      <c r="AA56" s="92">
        <f t="shared" si="69"/>
        <v>45473</v>
      </c>
      <c r="AB56" s="92">
        <f t="shared" si="69"/>
        <v>45504</v>
      </c>
      <c r="AC56" s="92">
        <f t="shared" si="69"/>
        <v>45535</v>
      </c>
      <c r="AD56" s="92">
        <f t="shared" si="69"/>
        <v>45565</v>
      </c>
      <c r="AE56" s="92">
        <f t="shared" si="69"/>
        <v>45596</v>
      </c>
      <c r="AF56" s="92">
        <f t="shared" si="69"/>
        <v>45626</v>
      </c>
      <c r="AG56" s="92">
        <f t="shared" si="69"/>
        <v>45657</v>
      </c>
      <c r="AH56" s="93"/>
      <c r="AI56" s="93"/>
      <c r="AJ56" s="94" t="str">
        <f t="shared" ref="AJ56:AN56" si="70">+AJ5</f>
        <v>2023</v>
      </c>
      <c r="AK56" s="94" t="str">
        <f t="shared" si="70"/>
        <v>2024</v>
      </c>
      <c r="AL56" s="94" t="str">
        <f t="shared" si="70"/>
        <v>2025</v>
      </c>
      <c r="AM56" s="94" t="str">
        <f t="shared" si="70"/>
        <v>2026</v>
      </c>
      <c r="AN56" s="94" t="str">
        <f t="shared" si="70"/>
        <v>2027</v>
      </c>
      <c r="AO56" s="1"/>
      <c r="AP56" s="1"/>
    </row>
    <row r="57" ht="12.75" customHeight="1">
      <c r="A57" s="1"/>
      <c r="B57" s="2" t="s">
        <v>58</v>
      </c>
      <c r="C57" s="95"/>
      <c r="D57" s="95"/>
      <c r="E57" s="96"/>
      <c r="F57" s="96"/>
      <c r="G57" s="96"/>
      <c r="H57" s="96"/>
      <c r="I57" s="96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23"/>
      <c r="AI57" s="23"/>
      <c r="AJ57" s="95"/>
      <c r="AK57" s="95"/>
      <c r="AL57" s="95"/>
      <c r="AM57" s="95"/>
      <c r="AN57" s="95"/>
      <c r="AO57" s="1"/>
      <c r="AP57" s="1"/>
    </row>
    <row r="58" ht="12.75" customHeight="1">
      <c r="A58" s="1"/>
      <c r="B58" s="1"/>
      <c r="C58" s="1"/>
      <c r="D58" s="1"/>
      <c r="E58" s="24"/>
      <c r="F58" s="24"/>
      <c r="G58" s="24"/>
      <c r="H58" s="24"/>
      <c r="I58" s="2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4"/>
      <c r="AI58" s="4"/>
      <c r="AJ58" s="1"/>
      <c r="AK58" s="1"/>
      <c r="AL58" s="1"/>
      <c r="AM58" s="1"/>
      <c r="AN58" s="1"/>
      <c r="AO58" s="1"/>
      <c r="AP58" s="1"/>
    </row>
    <row r="59" ht="12.75" customHeight="1">
      <c r="A59" s="1"/>
      <c r="B59" s="11" t="s">
        <v>59</v>
      </c>
      <c r="C59" s="97"/>
      <c r="D59" s="97"/>
      <c r="E59" s="98"/>
      <c r="F59" s="98"/>
      <c r="G59" s="98"/>
      <c r="H59" s="98"/>
      <c r="I59" s="98"/>
      <c r="J59" s="97"/>
      <c r="K59" s="99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23"/>
      <c r="AI59" s="23"/>
      <c r="AJ59" s="97"/>
      <c r="AK59" s="97"/>
      <c r="AL59" s="97"/>
      <c r="AM59" s="97"/>
      <c r="AN59" s="97"/>
      <c r="AO59" s="1"/>
      <c r="AP59" s="1"/>
    </row>
    <row r="60" ht="12.75" customHeight="1">
      <c r="A60" s="1"/>
      <c r="B60" s="1"/>
      <c r="C60" s="1"/>
      <c r="D60" s="1"/>
      <c r="E60" s="24"/>
      <c r="F60" s="24"/>
      <c r="G60" s="24"/>
      <c r="H60" s="24"/>
      <c r="I60" s="2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4"/>
      <c r="AI60" s="4"/>
      <c r="AJ60" s="1"/>
      <c r="AK60" s="1"/>
      <c r="AL60" s="1"/>
      <c r="AM60" s="1"/>
      <c r="AN60" s="1"/>
      <c r="AO60" s="1"/>
      <c r="AP60" s="1"/>
    </row>
    <row r="61" ht="12.75" customHeight="1">
      <c r="A61" s="1"/>
      <c r="B61" s="1" t="s">
        <v>60</v>
      </c>
      <c r="C61" s="25"/>
      <c r="D61" s="25"/>
      <c r="E61" s="26">
        <v>0.0</v>
      </c>
      <c r="F61" s="26">
        <f t="shared" ref="F61:AG61" si="71">+E64</f>
        <v>0</v>
      </c>
      <c r="G61" s="26">
        <f t="shared" si="71"/>
        <v>0</v>
      </c>
      <c r="H61" s="26">
        <f t="shared" si="71"/>
        <v>0</v>
      </c>
      <c r="I61" s="26">
        <f t="shared" si="71"/>
        <v>0</v>
      </c>
      <c r="J61" s="27">
        <f t="shared" si="71"/>
        <v>0</v>
      </c>
      <c r="K61" s="27">
        <f t="shared" si="71"/>
        <v>1000</v>
      </c>
      <c r="L61" s="27">
        <f t="shared" si="71"/>
        <v>0</v>
      </c>
      <c r="M61" s="27">
        <f t="shared" si="71"/>
        <v>2000</v>
      </c>
      <c r="N61" s="27">
        <f t="shared" si="71"/>
        <v>0</v>
      </c>
      <c r="O61" s="27">
        <f t="shared" si="71"/>
        <v>0</v>
      </c>
      <c r="P61" s="27">
        <f t="shared" si="71"/>
        <v>2000</v>
      </c>
      <c r="Q61" s="27">
        <f t="shared" si="71"/>
        <v>0</v>
      </c>
      <c r="R61" s="27">
        <f t="shared" si="71"/>
        <v>0</v>
      </c>
      <c r="S61" s="27">
        <f t="shared" si="71"/>
        <v>3000</v>
      </c>
      <c r="T61" s="27">
        <f t="shared" si="71"/>
        <v>0</v>
      </c>
      <c r="U61" s="27">
        <f t="shared" si="71"/>
        <v>0</v>
      </c>
      <c r="V61" s="27">
        <f t="shared" si="71"/>
        <v>4000</v>
      </c>
      <c r="W61" s="27">
        <f t="shared" si="71"/>
        <v>0</v>
      </c>
      <c r="X61" s="27">
        <f t="shared" si="71"/>
        <v>0</v>
      </c>
      <c r="Y61" s="27">
        <f t="shared" si="71"/>
        <v>5000</v>
      </c>
      <c r="Z61" s="27">
        <f t="shared" si="71"/>
        <v>0</v>
      </c>
      <c r="AA61" s="27">
        <f t="shared" si="71"/>
        <v>0</v>
      </c>
      <c r="AB61" s="27">
        <f t="shared" si="71"/>
        <v>6000</v>
      </c>
      <c r="AC61" s="27">
        <f t="shared" si="71"/>
        <v>0</v>
      </c>
      <c r="AD61" s="27">
        <f t="shared" si="71"/>
        <v>0</v>
      </c>
      <c r="AE61" s="27">
        <f t="shared" si="71"/>
        <v>6000</v>
      </c>
      <c r="AF61" s="27">
        <f t="shared" si="71"/>
        <v>0</v>
      </c>
      <c r="AG61" s="27">
        <f t="shared" si="71"/>
        <v>0</v>
      </c>
      <c r="AH61" s="23"/>
      <c r="AI61" s="23"/>
      <c r="AJ61" s="27">
        <f>J61</f>
        <v>0</v>
      </c>
      <c r="AK61" s="27">
        <f>SUM(AJ64:AJ65)</f>
        <v>4000</v>
      </c>
      <c r="AL61" s="27">
        <f t="shared" ref="AL61:AN61" si="72">+AK64</f>
        <v>8000</v>
      </c>
      <c r="AM61" s="27">
        <f t="shared" si="72"/>
        <v>14485.04276</v>
      </c>
      <c r="AN61" s="27">
        <f t="shared" si="72"/>
        <v>22855.16603</v>
      </c>
      <c r="AO61" s="1"/>
      <c r="AP61" s="1"/>
    </row>
    <row r="62" ht="12.75" customHeight="1">
      <c r="A62" s="1"/>
      <c r="B62" s="1" t="s">
        <v>61</v>
      </c>
      <c r="C62" s="25"/>
      <c r="D62" s="25"/>
      <c r="E62" s="26">
        <v>0.0</v>
      </c>
      <c r="F62" s="26">
        <v>0.0</v>
      </c>
      <c r="G62" s="26">
        <v>0.0</v>
      </c>
      <c r="H62" s="26">
        <v>0.0</v>
      </c>
      <c r="I62" s="26">
        <v>0.0</v>
      </c>
      <c r="J62" s="27">
        <f t="shared" ref="J62:AF62" si="73">K20*2</f>
        <v>1000</v>
      </c>
      <c r="K62" s="27">
        <f t="shared" si="73"/>
        <v>0</v>
      </c>
      <c r="L62" s="27">
        <f t="shared" si="73"/>
        <v>2000</v>
      </c>
      <c r="M62" s="27">
        <f t="shared" si="73"/>
        <v>0</v>
      </c>
      <c r="N62" s="27">
        <f t="shared" si="73"/>
        <v>0</v>
      </c>
      <c r="O62" s="27">
        <f t="shared" si="73"/>
        <v>2000</v>
      </c>
      <c r="P62" s="27">
        <f t="shared" si="73"/>
        <v>0</v>
      </c>
      <c r="Q62" s="27">
        <f t="shared" si="73"/>
        <v>0</v>
      </c>
      <c r="R62" s="27">
        <f t="shared" si="73"/>
        <v>3000</v>
      </c>
      <c r="S62" s="27">
        <f t="shared" si="73"/>
        <v>0</v>
      </c>
      <c r="T62" s="27">
        <f t="shared" si="73"/>
        <v>0</v>
      </c>
      <c r="U62" s="27">
        <f t="shared" si="73"/>
        <v>4000</v>
      </c>
      <c r="V62" s="27">
        <f t="shared" si="73"/>
        <v>0</v>
      </c>
      <c r="W62" s="27">
        <f t="shared" si="73"/>
        <v>0</v>
      </c>
      <c r="X62" s="27">
        <f t="shared" si="73"/>
        <v>5000</v>
      </c>
      <c r="Y62" s="27">
        <f t="shared" si="73"/>
        <v>0</v>
      </c>
      <c r="Z62" s="27">
        <f t="shared" si="73"/>
        <v>0</v>
      </c>
      <c r="AA62" s="27">
        <f t="shared" si="73"/>
        <v>6000</v>
      </c>
      <c r="AB62" s="27">
        <f t="shared" si="73"/>
        <v>0</v>
      </c>
      <c r="AC62" s="27">
        <f t="shared" si="73"/>
        <v>0</v>
      </c>
      <c r="AD62" s="27">
        <f t="shared" si="73"/>
        <v>6000</v>
      </c>
      <c r="AE62" s="27">
        <f t="shared" si="73"/>
        <v>0</v>
      </c>
      <c r="AF62" s="27">
        <f t="shared" si="73"/>
        <v>0</v>
      </c>
      <c r="AG62" s="100">
        <v>8000.0</v>
      </c>
      <c r="AH62" s="23"/>
      <c r="AI62" s="23"/>
      <c r="AJ62" s="27">
        <f t="shared" ref="AJ62:AJ63" si="76">SUM(J62:U62)</f>
        <v>12000</v>
      </c>
      <c r="AK62" s="27">
        <f t="shared" ref="AK62:AK63" si="77">SUM(V62:AG62)</f>
        <v>25000</v>
      </c>
      <c r="AL62" s="27">
        <f t="shared" ref="AL62:AN62" si="74">+AL64+AL63-AL61</f>
        <v>62868.42952</v>
      </c>
      <c r="AM62" s="27">
        <f t="shared" si="74"/>
        <v>127281.9072</v>
      </c>
      <c r="AN62" s="27">
        <f t="shared" si="74"/>
        <v>265444.467</v>
      </c>
      <c r="AO62" s="1"/>
      <c r="AP62" s="1"/>
    </row>
    <row r="63" ht="12.75" customHeight="1">
      <c r="A63" s="1"/>
      <c r="B63" s="1" t="s">
        <v>62</v>
      </c>
      <c r="C63" s="25"/>
      <c r="D63" s="25"/>
      <c r="E63" s="26">
        <v>0.0</v>
      </c>
      <c r="F63" s="26">
        <v>0.0</v>
      </c>
      <c r="G63" s="26">
        <v>0.0</v>
      </c>
      <c r="H63" s="26">
        <v>0.0</v>
      </c>
      <c r="I63" s="26">
        <v>0.0</v>
      </c>
      <c r="J63" s="27">
        <f>+J21</f>
        <v>0</v>
      </c>
      <c r="K63" s="27">
        <f>+K21*2</f>
        <v>1000</v>
      </c>
      <c r="L63" s="27">
        <f>+L21</f>
        <v>0</v>
      </c>
      <c r="M63" s="27">
        <f t="shared" ref="M63:AF63" si="75">+M21*2</f>
        <v>2000</v>
      </c>
      <c r="N63" s="27">
        <f t="shared" si="75"/>
        <v>0</v>
      </c>
      <c r="O63" s="27">
        <f t="shared" si="75"/>
        <v>0</v>
      </c>
      <c r="P63" s="27">
        <f t="shared" si="75"/>
        <v>2000</v>
      </c>
      <c r="Q63" s="27">
        <f t="shared" si="75"/>
        <v>0</v>
      </c>
      <c r="R63" s="27">
        <f t="shared" si="75"/>
        <v>0</v>
      </c>
      <c r="S63" s="27">
        <f t="shared" si="75"/>
        <v>3000</v>
      </c>
      <c r="T63" s="27">
        <f t="shared" si="75"/>
        <v>0</v>
      </c>
      <c r="U63" s="27">
        <f t="shared" si="75"/>
        <v>0</v>
      </c>
      <c r="V63" s="27">
        <f t="shared" si="75"/>
        <v>4000</v>
      </c>
      <c r="W63" s="27">
        <f t="shared" si="75"/>
        <v>0</v>
      </c>
      <c r="X63" s="27">
        <f t="shared" si="75"/>
        <v>0</v>
      </c>
      <c r="Y63" s="27">
        <f t="shared" si="75"/>
        <v>5000</v>
      </c>
      <c r="Z63" s="27">
        <f t="shared" si="75"/>
        <v>0</v>
      </c>
      <c r="AA63" s="27">
        <f t="shared" si="75"/>
        <v>0</v>
      </c>
      <c r="AB63" s="27">
        <f t="shared" si="75"/>
        <v>6000</v>
      </c>
      <c r="AC63" s="27">
        <f t="shared" si="75"/>
        <v>0</v>
      </c>
      <c r="AD63" s="27">
        <f t="shared" si="75"/>
        <v>0</v>
      </c>
      <c r="AE63" s="27">
        <f t="shared" si="75"/>
        <v>6000</v>
      </c>
      <c r="AF63" s="27">
        <f t="shared" si="75"/>
        <v>0</v>
      </c>
      <c r="AG63" s="27" t="str">
        <f>+AG21</f>
        <v/>
      </c>
      <c r="AH63" s="46"/>
      <c r="AI63" s="46"/>
      <c r="AJ63" s="27">
        <f t="shared" si="76"/>
        <v>8000</v>
      </c>
      <c r="AK63" s="27">
        <f t="shared" si="77"/>
        <v>21000</v>
      </c>
      <c r="AL63" s="27">
        <f t="shared" ref="AL63:AN63" si="78">+AL20*2</f>
        <v>56383.38676</v>
      </c>
      <c r="AM63" s="27">
        <f t="shared" si="78"/>
        <v>118911.7839</v>
      </c>
      <c r="AN63" s="27">
        <f t="shared" si="78"/>
        <v>252656.4929</v>
      </c>
      <c r="AO63" s="1"/>
      <c r="AP63" s="1"/>
    </row>
    <row r="64" ht="12.75" customHeight="1">
      <c r="A64" s="1"/>
      <c r="B64" s="28" t="s">
        <v>63</v>
      </c>
      <c r="C64" s="36"/>
      <c r="D64" s="36"/>
      <c r="E64" s="37">
        <f t="shared" ref="E64:AG64" si="79">E61+E62-E63</f>
        <v>0</v>
      </c>
      <c r="F64" s="37">
        <f t="shared" si="79"/>
        <v>0</v>
      </c>
      <c r="G64" s="37">
        <f t="shared" si="79"/>
        <v>0</v>
      </c>
      <c r="H64" s="37">
        <f t="shared" si="79"/>
        <v>0</v>
      </c>
      <c r="I64" s="37">
        <f t="shared" si="79"/>
        <v>0</v>
      </c>
      <c r="J64" s="38">
        <f t="shared" si="79"/>
        <v>1000</v>
      </c>
      <c r="K64" s="38">
        <f t="shared" si="79"/>
        <v>0</v>
      </c>
      <c r="L64" s="38">
        <f t="shared" si="79"/>
        <v>2000</v>
      </c>
      <c r="M64" s="38">
        <f t="shared" si="79"/>
        <v>0</v>
      </c>
      <c r="N64" s="38">
        <f t="shared" si="79"/>
        <v>0</v>
      </c>
      <c r="O64" s="38">
        <f t="shared" si="79"/>
        <v>2000</v>
      </c>
      <c r="P64" s="38">
        <f t="shared" si="79"/>
        <v>0</v>
      </c>
      <c r="Q64" s="38">
        <f t="shared" si="79"/>
        <v>0</v>
      </c>
      <c r="R64" s="38">
        <f t="shared" si="79"/>
        <v>3000</v>
      </c>
      <c r="S64" s="38">
        <f t="shared" si="79"/>
        <v>0</v>
      </c>
      <c r="T64" s="38">
        <f t="shared" si="79"/>
        <v>0</v>
      </c>
      <c r="U64" s="38">
        <f t="shared" si="79"/>
        <v>4000</v>
      </c>
      <c r="V64" s="38">
        <f t="shared" si="79"/>
        <v>0</v>
      </c>
      <c r="W64" s="38">
        <f t="shared" si="79"/>
        <v>0</v>
      </c>
      <c r="X64" s="38">
        <f t="shared" si="79"/>
        <v>5000</v>
      </c>
      <c r="Y64" s="38">
        <f t="shared" si="79"/>
        <v>0</v>
      </c>
      <c r="Z64" s="38">
        <f t="shared" si="79"/>
        <v>0</v>
      </c>
      <c r="AA64" s="38">
        <f t="shared" si="79"/>
        <v>6000</v>
      </c>
      <c r="AB64" s="38">
        <f t="shared" si="79"/>
        <v>0</v>
      </c>
      <c r="AC64" s="38">
        <f t="shared" si="79"/>
        <v>0</v>
      </c>
      <c r="AD64" s="38">
        <f t="shared" si="79"/>
        <v>6000</v>
      </c>
      <c r="AE64" s="38">
        <f t="shared" si="79"/>
        <v>0</v>
      </c>
      <c r="AF64" s="38">
        <f t="shared" si="79"/>
        <v>0</v>
      </c>
      <c r="AG64" s="38">
        <f t="shared" si="79"/>
        <v>8000</v>
      </c>
      <c r="AH64" s="101"/>
      <c r="AI64" s="101"/>
      <c r="AJ64" s="38">
        <f t="shared" ref="AJ64:AK64" si="80">AJ61+AJ62-AJ63</f>
        <v>4000</v>
      </c>
      <c r="AK64" s="38">
        <f t="shared" si="80"/>
        <v>8000</v>
      </c>
      <c r="AL64" s="38">
        <f t="shared" ref="AL64:AN64" si="81">+AK64*(1+AL115/2)</f>
        <v>14485.04276</v>
      </c>
      <c r="AM64" s="38">
        <f t="shared" si="81"/>
        <v>22855.16603</v>
      </c>
      <c r="AN64" s="38">
        <f t="shared" si="81"/>
        <v>35643.14014</v>
      </c>
      <c r="AO64" s="1"/>
      <c r="AP64" s="1"/>
    </row>
    <row r="65" ht="12.75" customHeight="1">
      <c r="A65" s="1"/>
      <c r="B65" s="14"/>
      <c r="C65" s="45"/>
      <c r="D65" s="45"/>
      <c r="E65" s="24"/>
      <c r="F65" s="24"/>
      <c r="G65" s="24"/>
      <c r="H65" s="24"/>
      <c r="I65" s="2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4"/>
      <c r="AI65" s="4"/>
      <c r="AJ65" s="1"/>
      <c r="AK65" s="1"/>
      <c r="AL65" s="1"/>
      <c r="AM65" s="1"/>
      <c r="AN65" s="1"/>
      <c r="AO65" s="1"/>
      <c r="AP65" s="1"/>
    </row>
    <row r="66" ht="12.75" customHeight="1">
      <c r="A66" s="1"/>
      <c r="B66" s="86" t="s">
        <v>64</v>
      </c>
      <c r="C66" s="1"/>
      <c r="D66" s="1"/>
      <c r="E66" s="26">
        <v>0.0</v>
      </c>
      <c r="F66" s="26">
        <v>0.0</v>
      </c>
      <c r="G66" s="26">
        <v>0.0</v>
      </c>
      <c r="H66" s="26">
        <v>0.0</v>
      </c>
      <c r="I66" s="26">
        <v>0.0</v>
      </c>
      <c r="J66" s="102">
        <v>15.0</v>
      </c>
      <c r="K66" s="103">
        <f t="shared" ref="K66:P66" si="82">J66</f>
        <v>15</v>
      </c>
      <c r="L66" s="103">
        <f t="shared" si="82"/>
        <v>15</v>
      </c>
      <c r="M66" s="103">
        <f t="shared" si="82"/>
        <v>15</v>
      </c>
      <c r="N66" s="103">
        <f t="shared" si="82"/>
        <v>15</v>
      </c>
      <c r="O66" s="103">
        <f t="shared" si="82"/>
        <v>15</v>
      </c>
      <c r="P66" s="103">
        <f t="shared" si="82"/>
        <v>15</v>
      </c>
      <c r="Q66" s="103">
        <v>15.0</v>
      </c>
      <c r="R66" s="103">
        <f t="shared" ref="R66:U66" si="83">Q66</f>
        <v>15</v>
      </c>
      <c r="S66" s="103">
        <f t="shared" si="83"/>
        <v>15</v>
      </c>
      <c r="T66" s="103">
        <f t="shared" si="83"/>
        <v>15</v>
      </c>
      <c r="U66" s="103">
        <f t="shared" si="83"/>
        <v>15</v>
      </c>
      <c r="V66" s="104">
        <v>15.0</v>
      </c>
      <c r="W66" s="105">
        <f t="shared" ref="W66:AG66" si="84">V66</f>
        <v>15</v>
      </c>
      <c r="X66" s="105">
        <f t="shared" si="84"/>
        <v>15</v>
      </c>
      <c r="Y66" s="105">
        <f t="shared" si="84"/>
        <v>15</v>
      </c>
      <c r="Z66" s="105">
        <f t="shared" si="84"/>
        <v>15</v>
      </c>
      <c r="AA66" s="105">
        <f t="shared" si="84"/>
        <v>15</v>
      </c>
      <c r="AB66" s="105">
        <f t="shared" si="84"/>
        <v>15</v>
      </c>
      <c r="AC66" s="105">
        <f t="shared" si="84"/>
        <v>15</v>
      </c>
      <c r="AD66" s="105">
        <f t="shared" si="84"/>
        <v>15</v>
      </c>
      <c r="AE66" s="105">
        <f t="shared" si="84"/>
        <v>15</v>
      </c>
      <c r="AF66" s="105">
        <f t="shared" si="84"/>
        <v>15</v>
      </c>
      <c r="AG66" s="105">
        <f t="shared" si="84"/>
        <v>15</v>
      </c>
      <c r="AH66" s="106"/>
      <c r="AI66" s="106"/>
      <c r="AJ66" s="103">
        <f t="shared" ref="AJ66:AK66" si="85">AJ70*1000/AJ62</f>
        <v>15</v>
      </c>
      <c r="AK66" s="103">
        <f t="shared" si="85"/>
        <v>15</v>
      </c>
      <c r="AL66" s="102">
        <v>15.0</v>
      </c>
      <c r="AM66" s="102">
        <v>15.0</v>
      </c>
      <c r="AN66" s="102">
        <v>15.0</v>
      </c>
      <c r="AO66" s="1"/>
      <c r="AP66" s="1"/>
    </row>
    <row r="67" ht="12.75" customHeight="1">
      <c r="A67" s="1"/>
      <c r="B67" s="86" t="s">
        <v>65</v>
      </c>
      <c r="C67" s="1"/>
      <c r="D67" s="1"/>
      <c r="E67" s="26">
        <v>0.0</v>
      </c>
      <c r="F67" s="26">
        <v>0.0</v>
      </c>
      <c r="G67" s="26">
        <v>0.0</v>
      </c>
      <c r="H67" s="26">
        <v>0.0</v>
      </c>
      <c r="I67" s="26">
        <v>0.0</v>
      </c>
      <c r="J67" s="27">
        <f>+IF(J63=0,0,SUM(J69:J70)/SUM(J61:J62))</f>
        <v>0</v>
      </c>
      <c r="K67" s="103">
        <f t="shared" ref="K67:AG67" si="86">IFERROR(SUM(K69:K70)*1000/SUM(K61:K62),0)</f>
        <v>15</v>
      </c>
      <c r="L67" s="103">
        <f t="shared" si="86"/>
        <v>15</v>
      </c>
      <c r="M67" s="103">
        <f t="shared" si="86"/>
        <v>15</v>
      </c>
      <c r="N67" s="103">
        <f t="shared" si="86"/>
        <v>0</v>
      </c>
      <c r="O67" s="103">
        <f t="shared" si="86"/>
        <v>15</v>
      </c>
      <c r="P67" s="103">
        <f t="shared" si="86"/>
        <v>15</v>
      </c>
      <c r="Q67" s="103">
        <f t="shared" si="86"/>
        <v>0</v>
      </c>
      <c r="R67" s="103">
        <f t="shared" si="86"/>
        <v>15</v>
      </c>
      <c r="S67" s="103">
        <f t="shared" si="86"/>
        <v>15</v>
      </c>
      <c r="T67" s="103">
        <f t="shared" si="86"/>
        <v>0</v>
      </c>
      <c r="U67" s="103">
        <f t="shared" si="86"/>
        <v>15</v>
      </c>
      <c r="V67" s="103">
        <f t="shared" si="86"/>
        <v>15</v>
      </c>
      <c r="W67" s="103">
        <f t="shared" si="86"/>
        <v>0</v>
      </c>
      <c r="X67" s="103">
        <f t="shared" si="86"/>
        <v>15</v>
      </c>
      <c r="Y67" s="103">
        <f t="shared" si="86"/>
        <v>15</v>
      </c>
      <c r="Z67" s="103">
        <f t="shared" si="86"/>
        <v>0</v>
      </c>
      <c r="AA67" s="103">
        <f t="shared" si="86"/>
        <v>15</v>
      </c>
      <c r="AB67" s="103">
        <f t="shared" si="86"/>
        <v>15</v>
      </c>
      <c r="AC67" s="103">
        <f t="shared" si="86"/>
        <v>0</v>
      </c>
      <c r="AD67" s="103">
        <f t="shared" si="86"/>
        <v>15</v>
      </c>
      <c r="AE67" s="103">
        <f t="shared" si="86"/>
        <v>15</v>
      </c>
      <c r="AF67" s="103">
        <f t="shared" si="86"/>
        <v>0</v>
      </c>
      <c r="AG67" s="103">
        <f t="shared" si="86"/>
        <v>15</v>
      </c>
      <c r="AH67" s="106"/>
      <c r="AI67" s="106"/>
      <c r="AJ67" s="27">
        <f t="shared" ref="AJ67:AN67" si="87">IFERROR(SUM(AJ69:AJ70)*1000/SUM(AJ61:AJ62),0)</f>
        <v>15</v>
      </c>
      <c r="AK67" s="27">
        <f t="shared" si="87"/>
        <v>15</v>
      </c>
      <c r="AL67" s="27">
        <f t="shared" si="87"/>
        <v>15</v>
      </c>
      <c r="AM67" s="27">
        <f t="shared" si="87"/>
        <v>15</v>
      </c>
      <c r="AN67" s="27">
        <f t="shared" si="87"/>
        <v>15</v>
      </c>
      <c r="AO67" s="1"/>
      <c r="AP67" s="1"/>
    </row>
    <row r="68" ht="12.75" customHeight="1">
      <c r="A68" s="1"/>
      <c r="B68" s="52"/>
      <c r="C68" s="1"/>
      <c r="D68" s="1"/>
      <c r="E68" s="26"/>
      <c r="F68" s="26"/>
      <c r="G68" s="26"/>
      <c r="H68" s="26"/>
      <c r="I68" s="26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6"/>
      <c r="AI68" s="106"/>
      <c r="AJ68" s="107"/>
      <c r="AK68" s="107"/>
      <c r="AL68" s="107"/>
      <c r="AM68" s="107"/>
      <c r="AN68" s="107"/>
      <c r="AO68" s="1"/>
      <c r="AP68" s="1"/>
    </row>
    <row r="69" ht="12.75" customHeight="1">
      <c r="A69" s="1"/>
      <c r="B69" s="1" t="s">
        <v>66</v>
      </c>
      <c r="C69" s="1"/>
      <c r="D69" s="1"/>
      <c r="E69" s="26">
        <v>0.0</v>
      </c>
      <c r="F69" s="26">
        <f t="shared" ref="F69:AG69" si="88">+E72</f>
        <v>0</v>
      </c>
      <c r="G69" s="26">
        <f t="shared" si="88"/>
        <v>0</v>
      </c>
      <c r="H69" s="26">
        <f t="shared" si="88"/>
        <v>0</v>
      </c>
      <c r="I69" s="26">
        <f t="shared" si="88"/>
        <v>0</v>
      </c>
      <c r="J69" s="108">
        <f t="shared" si="88"/>
        <v>0</v>
      </c>
      <c r="K69" s="108">
        <f t="shared" si="88"/>
        <v>15</v>
      </c>
      <c r="L69" s="108">
        <f t="shared" si="88"/>
        <v>0</v>
      </c>
      <c r="M69" s="108">
        <f t="shared" si="88"/>
        <v>30</v>
      </c>
      <c r="N69" s="108">
        <f t="shared" si="88"/>
        <v>0</v>
      </c>
      <c r="O69" s="108">
        <f t="shared" si="88"/>
        <v>0</v>
      </c>
      <c r="P69" s="108">
        <f t="shared" si="88"/>
        <v>30</v>
      </c>
      <c r="Q69" s="108">
        <f t="shared" si="88"/>
        <v>0</v>
      </c>
      <c r="R69" s="108">
        <f t="shared" si="88"/>
        <v>0</v>
      </c>
      <c r="S69" s="108">
        <f t="shared" si="88"/>
        <v>45</v>
      </c>
      <c r="T69" s="108">
        <f t="shared" si="88"/>
        <v>0</v>
      </c>
      <c r="U69" s="108">
        <f t="shared" si="88"/>
        <v>0</v>
      </c>
      <c r="V69" s="108">
        <f t="shared" si="88"/>
        <v>60</v>
      </c>
      <c r="W69" s="108">
        <f t="shared" si="88"/>
        <v>0</v>
      </c>
      <c r="X69" s="108">
        <f t="shared" si="88"/>
        <v>0</v>
      </c>
      <c r="Y69" s="108">
        <f t="shared" si="88"/>
        <v>75</v>
      </c>
      <c r="Z69" s="108">
        <f t="shared" si="88"/>
        <v>0</v>
      </c>
      <c r="AA69" s="108">
        <f t="shared" si="88"/>
        <v>0</v>
      </c>
      <c r="AB69" s="108">
        <f t="shared" si="88"/>
        <v>90</v>
      </c>
      <c r="AC69" s="108">
        <f t="shared" si="88"/>
        <v>0</v>
      </c>
      <c r="AD69" s="108">
        <f t="shared" si="88"/>
        <v>0</v>
      </c>
      <c r="AE69" s="108">
        <f t="shared" si="88"/>
        <v>90</v>
      </c>
      <c r="AF69" s="108">
        <f t="shared" si="88"/>
        <v>0</v>
      </c>
      <c r="AG69" s="108">
        <f t="shared" si="88"/>
        <v>0</v>
      </c>
      <c r="AH69" s="109"/>
      <c r="AI69" s="109"/>
      <c r="AJ69" s="108">
        <f>J69</f>
        <v>0</v>
      </c>
      <c r="AK69" s="108">
        <f t="shared" ref="AK69:AN69" si="89">+AJ72</f>
        <v>60</v>
      </c>
      <c r="AL69" s="108">
        <f t="shared" si="89"/>
        <v>120</v>
      </c>
      <c r="AM69" s="108">
        <f t="shared" si="89"/>
        <v>217.2756414</v>
      </c>
      <c r="AN69" s="108">
        <f t="shared" si="89"/>
        <v>342.8274904</v>
      </c>
      <c r="AO69" s="27"/>
      <c r="AP69" s="1"/>
    </row>
    <row r="70" ht="12.75" customHeight="1">
      <c r="A70" s="1"/>
      <c r="B70" s="1" t="s">
        <v>67</v>
      </c>
      <c r="C70" s="1"/>
      <c r="D70" s="1"/>
      <c r="E70" s="26">
        <v>0.0</v>
      </c>
      <c r="F70" s="26">
        <v>0.0</v>
      </c>
      <c r="G70" s="26">
        <v>0.0</v>
      </c>
      <c r="H70" s="26">
        <v>0.0</v>
      </c>
      <c r="I70" s="26">
        <v>0.0</v>
      </c>
      <c r="J70" s="27">
        <f t="shared" ref="J70:AG70" si="90">J62*J66/1000</f>
        <v>15</v>
      </c>
      <c r="K70" s="27">
        <f t="shared" si="90"/>
        <v>0</v>
      </c>
      <c r="L70" s="27">
        <f t="shared" si="90"/>
        <v>30</v>
      </c>
      <c r="M70" s="27">
        <f t="shared" si="90"/>
        <v>0</v>
      </c>
      <c r="N70" s="27">
        <f t="shared" si="90"/>
        <v>0</v>
      </c>
      <c r="O70" s="27">
        <f t="shared" si="90"/>
        <v>30</v>
      </c>
      <c r="P70" s="27">
        <f t="shared" si="90"/>
        <v>0</v>
      </c>
      <c r="Q70" s="27">
        <f t="shared" si="90"/>
        <v>0</v>
      </c>
      <c r="R70" s="27">
        <f t="shared" si="90"/>
        <v>45</v>
      </c>
      <c r="S70" s="27">
        <f t="shared" si="90"/>
        <v>0</v>
      </c>
      <c r="T70" s="27">
        <f t="shared" si="90"/>
        <v>0</v>
      </c>
      <c r="U70" s="27">
        <f t="shared" si="90"/>
        <v>60</v>
      </c>
      <c r="V70" s="27">
        <f t="shared" si="90"/>
        <v>0</v>
      </c>
      <c r="W70" s="27">
        <f t="shared" si="90"/>
        <v>0</v>
      </c>
      <c r="X70" s="27">
        <f t="shared" si="90"/>
        <v>75</v>
      </c>
      <c r="Y70" s="27">
        <f t="shared" si="90"/>
        <v>0</v>
      </c>
      <c r="Z70" s="27">
        <f t="shared" si="90"/>
        <v>0</v>
      </c>
      <c r="AA70" s="27">
        <f t="shared" si="90"/>
        <v>90</v>
      </c>
      <c r="AB70" s="27">
        <f t="shared" si="90"/>
        <v>0</v>
      </c>
      <c r="AC70" s="27">
        <f t="shared" si="90"/>
        <v>0</v>
      </c>
      <c r="AD70" s="27">
        <f t="shared" si="90"/>
        <v>90</v>
      </c>
      <c r="AE70" s="27">
        <f t="shared" si="90"/>
        <v>0</v>
      </c>
      <c r="AF70" s="27">
        <f t="shared" si="90"/>
        <v>0</v>
      </c>
      <c r="AG70" s="27">
        <f t="shared" si="90"/>
        <v>120</v>
      </c>
      <c r="AH70" s="4"/>
      <c r="AI70" s="4"/>
      <c r="AJ70" s="27">
        <f t="shared" ref="AJ70:AJ71" si="93">SUM(J70:U70)</f>
        <v>180</v>
      </c>
      <c r="AK70" s="27">
        <f t="shared" ref="AK70:AK71" si="94">SUM(V70:AG70)</f>
        <v>375</v>
      </c>
      <c r="AL70" s="27">
        <f t="shared" ref="AL70:AN70" si="91">AL62*AL66/1000</f>
        <v>943.0264428</v>
      </c>
      <c r="AM70" s="27">
        <f t="shared" si="91"/>
        <v>1909.228607</v>
      </c>
      <c r="AN70" s="27">
        <f t="shared" si="91"/>
        <v>3981.667005</v>
      </c>
      <c r="AO70" s="1"/>
      <c r="AP70" s="1"/>
    </row>
    <row r="71" ht="12.75" customHeight="1">
      <c r="A71" s="1"/>
      <c r="B71" s="1" t="s">
        <v>62</v>
      </c>
      <c r="C71" s="1"/>
      <c r="D71" s="1"/>
      <c r="E71" s="26">
        <v>0.0</v>
      </c>
      <c r="F71" s="26">
        <v>0.0</v>
      </c>
      <c r="G71" s="26">
        <v>0.0</v>
      </c>
      <c r="H71" s="26">
        <v>0.0</v>
      </c>
      <c r="I71" s="26">
        <v>0.0</v>
      </c>
      <c r="J71" s="108">
        <f t="shared" ref="J71:AG71" si="92">J67*J63/1000</f>
        <v>0</v>
      </c>
      <c r="K71" s="27">
        <f t="shared" si="92"/>
        <v>15</v>
      </c>
      <c r="L71" s="27">
        <f t="shared" si="92"/>
        <v>0</v>
      </c>
      <c r="M71" s="27">
        <f t="shared" si="92"/>
        <v>30</v>
      </c>
      <c r="N71" s="27">
        <f t="shared" si="92"/>
        <v>0</v>
      </c>
      <c r="O71" s="27">
        <f t="shared" si="92"/>
        <v>0</v>
      </c>
      <c r="P71" s="27">
        <f t="shared" si="92"/>
        <v>30</v>
      </c>
      <c r="Q71" s="27">
        <f t="shared" si="92"/>
        <v>0</v>
      </c>
      <c r="R71" s="27">
        <f t="shared" si="92"/>
        <v>0</v>
      </c>
      <c r="S71" s="27">
        <f t="shared" si="92"/>
        <v>45</v>
      </c>
      <c r="T71" s="27">
        <f t="shared" si="92"/>
        <v>0</v>
      </c>
      <c r="U71" s="27">
        <f t="shared" si="92"/>
        <v>0</v>
      </c>
      <c r="V71" s="27">
        <f t="shared" si="92"/>
        <v>60</v>
      </c>
      <c r="W71" s="27">
        <f t="shared" si="92"/>
        <v>0</v>
      </c>
      <c r="X71" s="27">
        <f t="shared" si="92"/>
        <v>0</v>
      </c>
      <c r="Y71" s="27">
        <f t="shared" si="92"/>
        <v>75</v>
      </c>
      <c r="Z71" s="27">
        <f t="shared" si="92"/>
        <v>0</v>
      </c>
      <c r="AA71" s="27">
        <f t="shared" si="92"/>
        <v>0</v>
      </c>
      <c r="AB71" s="27">
        <f t="shared" si="92"/>
        <v>90</v>
      </c>
      <c r="AC71" s="27">
        <f t="shared" si="92"/>
        <v>0</v>
      </c>
      <c r="AD71" s="27">
        <f t="shared" si="92"/>
        <v>0</v>
      </c>
      <c r="AE71" s="27">
        <f t="shared" si="92"/>
        <v>90</v>
      </c>
      <c r="AF71" s="27">
        <f t="shared" si="92"/>
        <v>0</v>
      </c>
      <c r="AG71" s="27">
        <f t="shared" si="92"/>
        <v>0</v>
      </c>
      <c r="AH71" s="4"/>
      <c r="AI71" s="4"/>
      <c r="AJ71" s="27">
        <f t="shared" si="93"/>
        <v>120</v>
      </c>
      <c r="AK71" s="27">
        <f t="shared" si="94"/>
        <v>315</v>
      </c>
      <c r="AL71" s="27">
        <f t="shared" ref="AL71:AN71" si="95">AL67*AL63/1000</f>
        <v>845.7508014</v>
      </c>
      <c r="AM71" s="27">
        <f t="shared" si="95"/>
        <v>1783.676758</v>
      </c>
      <c r="AN71" s="27">
        <f t="shared" si="95"/>
        <v>3789.847393</v>
      </c>
      <c r="AO71" s="1"/>
      <c r="AP71" s="1"/>
    </row>
    <row r="72" ht="12.75" customHeight="1">
      <c r="A72" s="1"/>
      <c r="B72" s="28" t="s">
        <v>68</v>
      </c>
      <c r="C72" s="28"/>
      <c r="D72" s="28"/>
      <c r="E72" s="37">
        <f t="shared" ref="E72:AG72" si="96">E69+E70-E71</f>
        <v>0</v>
      </c>
      <c r="F72" s="37">
        <f t="shared" si="96"/>
        <v>0</v>
      </c>
      <c r="G72" s="37">
        <f t="shared" si="96"/>
        <v>0</v>
      </c>
      <c r="H72" s="37">
        <f t="shared" si="96"/>
        <v>0</v>
      </c>
      <c r="I72" s="37">
        <f t="shared" si="96"/>
        <v>0</v>
      </c>
      <c r="J72" s="110">
        <f t="shared" si="96"/>
        <v>15</v>
      </c>
      <c r="K72" s="110">
        <f t="shared" si="96"/>
        <v>0</v>
      </c>
      <c r="L72" s="111">
        <f t="shared" si="96"/>
        <v>30</v>
      </c>
      <c r="M72" s="111">
        <f t="shared" si="96"/>
        <v>0</v>
      </c>
      <c r="N72" s="111">
        <f t="shared" si="96"/>
        <v>0</v>
      </c>
      <c r="O72" s="111">
        <f t="shared" si="96"/>
        <v>30</v>
      </c>
      <c r="P72" s="111">
        <f t="shared" si="96"/>
        <v>0</v>
      </c>
      <c r="Q72" s="111">
        <f t="shared" si="96"/>
        <v>0</v>
      </c>
      <c r="R72" s="111">
        <f t="shared" si="96"/>
        <v>45</v>
      </c>
      <c r="S72" s="111">
        <f t="shared" si="96"/>
        <v>0</v>
      </c>
      <c r="T72" s="111">
        <f t="shared" si="96"/>
        <v>0</v>
      </c>
      <c r="U72" s="111">
        <f t="shared" si="96"/>
        <v>60</v>
      </c>
      <c r="V72" s="111">
        <f t="shared" si="96"/>
        <v>0</v>
      </c>
      <c r="W72" s="111">
        <f t="shared" si="96"/>
        <v>0</v>
      </c>
      <c r="X72" s="111">
        <f t="shared" si="96"/>
        <v>75</v>
      </c>
      <c r="Y72" s="111">
        <f t="shared" si="96"/>
        <v>0</v>
      </c>
      <c r="Z72" s="111">
        <f t="shared" si="96"/>
        <v>0</v>
      </c>
      <c r="AA72" s="111">
        <f t="shared" si="96"/>
        <v>90</v>
      </c>
      <c r="AB72" s="111">
        <f t="shared" si="96"/>
        <v>0</v>
      </c>
      <c r="AC72" s="111">
        <f t="shared" si="96"/>
        <v>0</v>
      </c>
      <c r="AD72" s="111">
        <f t="shared" si="96"/>
        <v>90</v>
      </c>
      <c r="AE72" s="111">
        <f t="shared" si="96"/>
        <v>0</v>
      </c>
      <c r="AF72" s="111">
        <f t="shared" si="96"/>
        <v>0</v>
      </c>
      <c r="AG72" s="111">
        <f t="shared" si="96"/>
        <v>120</v>
      </c>
      <c r="AH72" s="112"/>
      <c r="AI72" s="112"/>
      <c r="AJ72" s="111">
        <f t="shared" ref="AJ72:AN72" si="97">AJ69+AJ70-AJ71</f>
        <v>60</v>
      </c>
      <c r="AK72" s="111">
        <f t="shared" si="97"/>
        <v>120</v>
      </c>
      <c r="AL72" s="111">
        <f t="shared" si="97"/>
        <v>217.2756414</v>
      </c>
      <c r="AM72" s="111">
        <f t="shared" si="97"/>
        <v>342.8274904</v>
      </c>
      <c r="AN72" s="111">
        <f t="shared" si="97"/>
        <v>534.6471021</v>
      </c>
      <c r="AO72" s="1"/>
      <c r="AP72" s="1"/>
    </row>
    <row r="73" ht="12.75" customHeight="1">
      <c r="A73" s="1"/>
      <c r="B73" s="1"/>
      <c r="C73" s="1"/>
      <c r="D73" s="1"/>
      <c r="E73" s="24"/>
      <c r="F73" s="24"/>
      <c r="G73" s="24"/>
      <c r="H73" s="24"/>
      <c r="I73" s="2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4"/>
      <c r="AI73" s="4"/>
      <c r="AJ73" s="1"/>
      <c r="AK73" s="1"/>
      <c r="AL73" s="1"/>
      <c r="AM73" s="1"/>
      <c r="AN73" s="1"/>
      <c r="AO73" s="1"/>
      <c r="AP73" s="1"/>
    </row>
    <row r="74" ht="12.75" customHeight="1">
      <c r="A74" s="1"/>
      <c r="B74" s="11" t="s">
        <v>69</v>
      </c>
      <c r="C74" s="97"/>
      <c r="D74" s="97"/>
      <c r="E74" s="98"/>
      <c r="F74" s="98"/>
      <c r="G74" s="98"/>
      <c r="H74" s="98"/>
      <c r="I74" s="98"/>
      <c r="J74" s="97"/>
      <c r="K74" s="99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23"/>
      <c r="AI74" s="23"/>
      <c r="AJ74" s="97"/>
      <c r="AK74" s="97"/>
      <c r="AL74" s="97"/>
      <c r="AM74" s="97"/>
      <c r="AN74" s="97"/>
      <c r="AO74" s="1"/>
      <c r="AP74" s="1"/>
    </row>
    <row r="75" ht="12.75" customHeight="1">
      <c r="A75" s="1"/>
      <c r="B75" s="12"/>
      <c r="C75" s="45"/>
      <c r="D75" s="45"/>
      <c r="E75" s="113"/>
      <c r="F75" s="113"/>
      <c r="G75" s="113"/>
      <c r="H75" s="113"/>
      <c r="I75" s="113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23"/>
      <c r="AI75" s="23"/>
      <c r="AJ75" s="25"/>
      <c r="AK75" s="25"/>
      <c r="AL75" s="25"/>
      <c r="AM75" s="25"/>
      <c r="AN75" s="25"/>
      <c r="AO75" s="1"/>
      <c r="AP75" s="1"/>
    </row>
    <row r="76" ht="12.75" customHeight="1">
      <c r="A76" s="1"/>
      <c r="B76" s="1" t="str">
        <f t="shared" ref="B76:B79" si="100">+B28</f>
        <v>Inventory - Finished Goods (units) - BoP</v>
      </c>
      <c r="C76" s="45"/>
      <c r="D76" s="45"/>
      <c r="E76" s="26">
        <f t="shared" ref="E76:AG76" si="98">+E28</f>
        <v>0</v>
      </c>
      <c r="F76" s="26">
        <f t="shared" si="98"/>
        <v>0</v>
      </c>
      <c r="G76" s="26">
        <f t="shared" si="98"/>
        <v>0</v>
      </c>
      <c r="H76" s="26">
        <f t="shared" si="98"/>
        <v>0</v>
      </c>
      <c r="I76" s="26">
        <f t="shared" si="98"/>
        <v>0</v>
      </c>
      <c r="J76" s="27">
        <f t="shared" si="98"/>
        <v>0</v>
      </c>
      <c r="K76" s="27">
        <f t="shared" si="98"/>
        <v>0</v>
      </c>
      <c r="L76" s="27">
        <f t="shared" si="98"/>
        <v>500</v>
      </c>
      <c r="M76" s="27">
        <f t="shared" si="98"/>
        <v>500</v>
      </c>
      <c r="N76" s="27">
        <f t="shared" si="98"/>
        <v>1200</v>
      </c>
      <c r="O76" s="27">
        <f t="shared" si="98"/>
        <v>900</v>
      </c>
      <c r="P76" s="27">
        <f t="shared" si="98"/>
        <v>700</v>
      </c>
      <c r="Q76" s="27">
        <f t="shared" si="98"/>
        <v>1500</v>
      </c>
      <c r="R76" s="27">
        <f t="shared" si="98"/>
        <v>1300</v>
      </c>
      <c r="S76" s="27">
        <f t="shared" si="98"/>
        <v>800</v>
      </c>
      <c r="T76" s="27">
        <f t="shared" si="98"/>
        <v>1800</v>
      </c>
      <c r="U76" s="27">
        <f t="shared" si="98"/>
        <v>1300</v>
      </c>
      <c r="V76" s="27">
        <f t="shared" si="98"/>
        <v>800</v>
      </c>
      <c r="W76" s="27">
        <f t="shared" si="98"/>
        <v>2300</v>
      </c>
      <c r="X76" s="27">
        <f t="shared" si="98"/>
        <v>1800</v>
      </c>
      <c r="Y76" s="27">
        <f t="shared" si="98"/>
        <v>1300</v>
      </c>
      <c r="Z76" s="27">
        <f t="shared" si="98"/>
        <v>3000</v>
      </c>
      <c r="AA76" s="27">
        <f t="shared" si="98"/>
        <v>2200</v>
      </c>
      <c r="AB76" s="27">
        <f t="shared" si="98"/>
        <v>1400</v>
      </c>
      <c r="AC76" s="27">
        <f t="shared" si="98"/>
        <v>3500</v>
      </c>
      <c r="AD76" s="27">
        <f t="shared" si="98"/>
        <v>2600</v>
      </c>
      <c r="AE76" s="27">
        <f t="shared" si="98"/>
        <v>1700</v>
      </c>
      <c r="AF76" s="27">
        <f t="shared" si="98"/>
        <v>3500</v>
      </c>
      <c r="AG76" s="27">
        <f t="shared" si="98"/>
        <v>2300</v>
      </c>
      <c r="AH76" s="46"/>
      <c r="AI76" s="46"/>
      <c r="AJ76" s="27">
        <f t="shared" ref="AJ76:AN76" si="99">+AJ28</f>
        <v>0</v>
      </c>
      <c r="AK76" s="27">
        <f t="shared" si="99"/>
        <v>800</v>
      </c>
      <c r="AL76" s="27">
        <f t="shared" si="99"/>
        <v>1100</v>
      </c>
      <c r="AM76" s="27">
        <f t="shared" si="99"/>
        <v>1991.69338</v>
      </c>
      <c r="AN76" s="27">
        <f t="shared" si="99"/>
        <v>3142.585329</v>
      </c>
      <c r="AO76" s="1"/>
      <c r="AP76" s="1"/>
    </row>
    <row r="77" ht="12.75" customHeight="1">
      <c r="A77" s="1"/>
      <c r="B77" s="1" t="str">
        <f t="shared" si="100"/>
        <v>Units sold</v>
      </c>
      <c r="C77" s="45"/>
      <c r="D77" s="45"/>
      <c r="E77" s="26">
        <f t="shared" ref="E77:AG77" si="101">+E29</f>
        <v>0</v>
      </c>
      <c r="F77" s="26">
        <f t="shared" si="101"/>
        <v>0</v>
      </c>
      <c r="G77" s="26">
        <f t="shared" si="101"/>
        <v>0</v>
      </c>
      <c r="H77" s="26">
        <f t="shared" si="101"/>
        <v>0</v>
      </c>
      <c r="I77" s="26">
        <f t="shared" si="101"/>
        <v>0</v>
      </c>
      <c r="J77" s="27">
        <f t="shared" si="101"/>
        <v>0</v>
      </c>
      <c r="K77" s="27">
        <f t="shared" si="101"/>
        <v>0</v>
      </c>
      <c r="L77" s="27">
        <f t="shared" si="101"/>
        <v>0</v>
      </c>
      <c r="M77" s="27">
        <f t="shared" si="101"/>
        <v>300</v>
      </c>
      <c r="N77" s="27">
        <f t="shared" si="101"/>
        <v>300</v>
      </c>
      <c r="O77" s="27">
        <f t="shared" si="101"/>
        <v>200</v>
      </c>
      <c r="P77" s="27">
        <f t="shared" si="101"/>
        <v>200</v>
      </c>
      <c r="Q77" s="27">
        <f t="shared" si="101"/>
        <v>200</v>
      </c>
      <c r="R77" s="27">
        <f t="shared" si="101"/>
        <v>500</v>
      </c>
      <c r="S77" s="27">
        <f t="shared" si="101"/>
        <v>500</v>
      </c>
      <c r="T77" s="27">
        <f t="shared" si="101"/>
        <v>500</v>
      </c>
      <c r="U77" s="27">
        <f t="shared" si="101"/>
        <v>500</v>
      </c>
      <c r="V77" s="27">
        <f t="shared" si="101"/>
        <v>500</v>
      </c>
      <c r="W77" s="27">
        <f t="shared" si="101"/>
        <v>500</v>
      </c>
      <c r="X77" s="27">
        <f t="shared" si="101"/>
        <v>500</v>
      </c>
      <c r="Y77" s="27">
        <f t="shared" si="101"/>
        <v>800</v>
      </c>
      <c r="Z77" s="27">
        <f t="shared" si="101"/>
        <v>800</v>
      </c>
      <c r="AA77" s="27">
        <f t="shared" si="101"/>
        <v>800</v>
      </c>
      <c r="AB77" s="27">
        <f t="shared" si="101"/>
        <v>900</v>
      </c>
      <c r="AC77" s="27">
        <f t="shared" si="101"/>
        <v>900</v>
      </c>
      <c r="AD77" s="27">
        <f t="shared" si="101"/>
        <v>900</v>
      </c>
      <c r="AE77" s="27">
        <f t="shared" si="101"/>
        <v>1200</v>
      </c>
      <c r="AF77" s="27">
        <f t="shared" si="101"/>
        <v>1200</v>
      </c>
      <c r="AG77" s="27">
        <f t="shared" si="101"/>
        <v>1200</v>
      </c>
      <c r="AH77" s="46"/>
      <c r="AI77" s="46"/>
      <c r="AJ77" s="27">
        <f t="shared" ref="AJ77:AN77" si="102">+AJ29</f>
        <v>3200</v>
      </c>
      <c r="AK77" s="27">
        <f t="shared" si="102"/>
        <v>10200</v>
      </c>
      <c r="AL77" s="27">
        <f t="shared" si="102"/>
        <v>27300</v>
      </c>
      <c r="AM77" s="27">
        <f t="shared" si="102"/>
        <v>58305</v>
      </c>
      <c r="AN77" s="27">
        <f t="shared" si="102"/>
        <v>124569.9</v>
      </c>
      <c r="AO77" s="1"/>
      <c r="AP77" s="1"/>
    </row>
    <row r="78" ht="12.75" customHeight="1">
      <c r="A78" s="1"/>
      <c r="B78" s="9" t="str">
        <f t="shared" si="100"/>
        <v>Units produced</v>
      </c>
      <c r="C78" s="115"/>
      <c r="D78" s="115"/>
      <c r="E78" s="26">
        <f t="shared" ref="E78:AG78" si="103">+E30</f>
        <v>0</v>
      </c>
      <c r="F78" s="26">
        <f t="shared" si="103"/>
        <v>0</v>
      </c>
      <c r="G78" s="26">
        <f t="shared" si="103"/>
        <v>0</v>
      </c>
      <c r="H78" s="26">
        <f t="shared" si="103"/>
        <v>0</v>
      </c>
      <c r="I78" s="26">
        <f t="shared" si="103"/>
        <v>0</v>
      </c>
      <c r="J78" s="27">
        <f t="shared" si="103"/>
        <v>0</v>
      </c>
      <c r="K78" s="27">
        <f t="shared" si="103"/>
        <v>500</v>
      </c>
      <c r="L78" s="27">
        <f t="shared" si="103"/>
        <v>0</v>
      </c>
      <c r="M78" s="27">
        <f t="shared" si="103"/>
        <v>1000</v>
      </c>
      <c r="N78" s="27" t="str">
        <f t="shared" si="103"/>
        <v/>
      </c>
      <c r="O78" s="27" t="str">
        <f t="shared" si="103"/>
        <v/>
      </c>
      <c r="P78" s="27">
        <f t="shared" si="103"/>
        <v>1000</v>
      </c>
      <c r="Q78" s="27" t="str">
        <f t="shared" si="103"/>
        <v/>
      </c>
      <c r="R78" s="27" t="str">
        <f t="shared" si="103"/>
        <v/>
      </c>
      <c r="S78" s="27">
        <f t="shared" si="103"/>
        <v>1500</v>
      </c>
      <c r="T78" s="27" t="str">
        <f t="shared" si="103"/>
        <v/>
      </c>
      <c r="U78" s="27" t="str">
        <f t="shared" si="103"/>
        <v/>
      </c>
      <c r="V78" s="27">
        <f t="shared" si="103"/>
        <v>2000</v>
      </c>
      <c r="W78" s="27" t="str">
        <f t="shared" si="103"/>
        <v/>
      </c>
      <c r="X78" s="27" t="str">
        <f t="shared" si="103"/>
        <v/>
      </c>
      <c r="Y78" s="27">
        <f t="shared" si="103"/>
        <v>2500</v>
      </c>
      <c r="Z78" s="27" t="str">
        <f t="shared" si="103"/>
        <v/>
      </c>
      <c r="AA78" s="27" t="str">
        <f t="shared" si="103"/>
        <v/>
      </c>
      <c r="AB78" s="27">
        <f t="shared" si="103"/>
        <v>3000</v>
      </c>
      <c r="AC78" s="27" t="str">
        <f t="shared" si="103"/>
        <v/>
      </c>
      <c r="AD78" s="27" t="str">
        <f t="shared" si="103"/>
        <v/>
      </c>
      <c r="AE78" s="27">
        <f t="shared" si="103"/>
        <v>3000</v>
      </c>
      <c r="AF78" s="27" t="str">
        <f t="shared" si="103"/>
        <v/>
      </c>
      <c r="AG78" s="27" t="str">
        <f t="shared" si="103"/>
        <v/>
      </c>
      <c r="AH78" s="46"/>
      <c r="AI78" s="46"/>
      <c r="AJ78" s="27">
        <f t="shared" ref="AJ78:AN78" si="104">+AJ30</f>
        <v>4000</v>
      </c>
      <c r="AK78" s="27">
        <f t="shared" si="104"/>
        <v>10500</v>
      </c>
      <c r="AL78" s="27">
        <f t="shared" si="104"/>
        <v>28191.69338</v>
      </c>
      <c r="AM78" s="27">
        <f t="shared" si="104"/>
        <v>59455.89195</v>
      </c>
      <c r="AN78" s="27">
        <f t="shared" si="104"/>
        <v>126328.2464</v>
      </c>
      <c r="AO78" s="1"/>
      <c r="AP78" s="1"/>
    </row>
    <row r="79" ht="12.75" customHeight="1">
      <c r="A79" s="12"/>
      <c r="B79" s="28" t="str">
        <f t="shared" si="100"/>
        <v>Inventory - Finished Goods (units) - EoP</v>
      </c>
      <c r="C79" s="45"/>
      <c r="D79" s="29"/>
      <c r="E79" s="61">
        <f t="shared" ref="E79:AG79" si="105">+E31</f>
        <v>0</v>
      </c>
      <c r="F79" s="61">
        <f t="shared" si="105"/>
        <v>0</v>
      </c>
      <c r="G79" s="61">
        <f t="shared" si="105"/>
        <v>0</v>
      </c>
      <c r="H79" s="61">
        <f t="shared" si="105"/>
        <v>0</v>
      </c>
      <c r="I79" s="61">
        <f t="shared" si="105"/>
        <v>0</v>
      </c>
      <c r="J79" s="29">
        <f t="shared" si="105"/>
        <v>0</v>
      </c>
      <c r="K79" s="29">
        <f t="shared" si="105"/>
        <v>500</v>
      </c>
      <c r="L79" s="29">
        <f t="shared" si="105"/>
        <v>500</v>
      </c>
      <c r="M79" s="29">
        <f t="shared" si="105"/>
        <v>1200</v>
      </c>
      <c r="N79" s="29">
        <f t="shared" si="105"/>
        <v>900</v>
      </c>
      <c r="O79" s="29">
        <f t="shared" si="105"/>
        <v>700</v>
      </c>
      <c r="P79" s="29">
        <f t="shared" si="105"/>
        <v>1500</v>
      </c>
      <c r="Q79" s="29">
        <f t="shared" si="105"/>
        <v>1300</v>
      </c>
      <c r="R79" s="29">
        <f t="shared" si="105"/>
        <v>800</v>
      </c>
      <c r="S79" s="29">
        <f t="shared" si="105"/>
        <v>1800</v>
      </c>
      <c r="T79" s="29">
        <f t="shared" si="105"/>
        <v>1300</v>
      </c>
      <c r="U79" s="29">
        <f t="shared" si="105"/>
        <v>800</v>
      </c>
      <c r="V79" s="29">
        <f t="shared" si="105"/>
        <v>2300</v>
      </c>
      <c r="W79" s="29">
        <f t="shared" si="105"/>
        <v>1800</v>
      </c>
      <c r="X79" s="29">
        <f t="shared" si="105"/>
        <v>1300</v>
      </c>
      <c r="Y79" s="29">
        <f t="shared" si="105"/>
        <v>3000</v>
      </c>
      <c r="Z79" s="29">
        <f t="shared" si="105"/>
        <v>2200</v>
      </c>
      <c r="AA79" s="29">
        <f t="shared" si="105"/>
        <v>1400</v>
      </c>
      <c r="AB79" s="29">
        <f t="shared" si="105"/>
        <v>3500</v>
      </c>
      <c r="AC79" s="29">
        <f t="shared" si="105"/>
        <v>2600</v>
      </c>
      <c r="AD79" s="29">
        <f t="shared" si="105"/>
        <v>1700</v>
      </c>
      <c r="AE79" s="29">
        <f t="shared" si="105"/>
        <v>3500</v>
      </c>
      <c r="AF79" s="29">
        <f t="shared" si="105"/>
        <v>2300</v>
      </c>
      <c r="AG79" s="29">
        <f t="shared" si="105"/>
        <v>1100</v>
      </c>
      <c r="AH79" s="116"/>
      <c r="AI79" s="116"/>
      <c r="AJ79" s="29">
        <f t="shared" ref="AJ79:AN79" si="106">+AJ31</f>
        <v>800</v>
      </c>
      <c r="AK79" s="29">
        <f t="shared" si="106"/>
        <v>1100</v>
      </c>
      <c r="AL79" s="29">
        <f t="shared" si="106"/>
        <v>1991.69338</v>
      </c>
      <c r="AM79" s="29">
        <f t="shared" si="106"/>
        <v>3142.585329</v>
      </c>
      <c r="AN79" s="29">
        <f t="shared" si="106"/>
        <v>4900.931769</v>
      </c>
      <c r="AO79" s="12"/>
      <c r="AP79" s="12"/>
    </row>
    <row r="80" ht="12.75" customHeight="1">
      <c r="A80" s="1"/>
      <c r="B80" s="12"/>
      <c r="C80" s="45"/>
      <c r="D80" s="45"/>
      <c r="E80" s="113"/>
      <c r="F80" s="113"/>
      <c r="G80" s="113"/>
      <c r="H80" s="113"/>
      <c r="I80" s="113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23"/>
      <c r="AI80" s="23"/>
      <c r="AJ80" s="25"/>
      <c r="AK80" s="25"/>
      <c r="AL80" s="25"/>
      <c r="AM80" s="25"/>
      <c r="AN80" s="25"/>
      <c r="AO80" s="1"/>
      <c r="AP80" s="1"/>
    </row>
    <row r="81" ht="12.75" customHeight="1">
      <c r="A81" s="1"/>
      <c r="B81" s="86" t="s">
        <v>70</v>
      </c>
      <c r="C81" s="1"/>
      <c r="D81" s="1"/>
      <c r="E81" s="26">
        <v>0.0</v>
      </c>
      <c r="F81" s="26">
        <v>0.0</v>
      </c>
      <c r="G81" s="26">
        <v>0.0</v>
      </c>
      <c r="H81" s="26">
        <v>0.0</v>
      </c>
      <c r="I81" s="26">
        <v>0.0</v>
      </c>
      <c r="J81" s="27">
        <f t="shared" ref="J81:AG81" si="107">IF(J78=0,0,VLOOKUP(J78,$B$235:$C$239,2,TRUE))</f>
        <v>0</v>
      </c>
      <c r="K81" s="103">
        <f t="shared" si="107"/>
        <v>150</v>
      </c>
      <c r="L81" s="103">
        <f t="shared" si="107"/>
        <v>0</v>
      </c>
      <c r="M81" s="103">
        <f t="shared" si="107"/>
        <v>125</v>
      </c>
      <c r="N81" s="103">
        <f t="shared" si="107"/>
        <v>0</v>
      </c>
      <c r="O81" s="103">
        <f t="shared" si="107"/>
        <v>0</v>
      </c>
      <c r="P81" s="103">
        <f t="shared" si="107"/>
        <v>125</v>
      </c>
      <c r="Q81" s="103">
        <f t="shared" si="107"/>
        <v>0</v>
      </c>
      <c r="R81" s="103">
        <f t="shared" si="107"/>
        <v>0</v>
      </c>
      <c r="S81" s="103">
        <f t="shared" si="107"/>
        <v>125</v>
      </c>
      <c r="T81" s="103">
        <f t="shared" si="107"/>
        <v>0</v>
      </c>
      <c r="U81" s="103">
        <f t="shared" si="107"/>
        <v>0</v>
      </c>
      <c r="V81" s="103">
        <f t="shared" si="107"/>
        <v>100</v>
      </c>
      <c r="W81" s="103">
        <f t="shared" si="107"/>
        <v>0</v>
      </c>
      <c r="X81" s="103">
        <f t="shared" si="107"/>
        <v>0</v>
      </c>
      <c r="Y81" s="103">
        <f t="shared" si="107"/>
        <v>100</v>
      </c>
      <c r="Z81" s="103">
        <f t="shared" si="107"/>
        <v>0</v>
      </c>
      <c r="AA81" s="103">
        <f t="shared" si="107"/>
        <v>0</v>
      </c>
      <c r="AB81" s="103">
        <f t="shared" si="107"/>
        <v>100</v>
      </c>
      <c r="AC81" s="103">
        <f t="shared" si="107"/>
        <v>0</v>
      </c>
      <c r="AD81" s="103">
        <f t="shared" si="107"/>
        <v>0</v>
      </c>
      <c r="AE81" s="103">
        <f t="shared" si="107"/>
        <v>100</v>
      </c>
      <c r="AF81" s="103">
        <f t="shared" si="107"/>
        <v>0</v>
      </c>
      <c r="AG81" s="103">
        <f t="shared" si="107"/>
        <v>0</v>
      </c>
      <c r="AH81" s="109"/>
      <c r="AI81" s="109"/>
      <c r="AJ81" s="103">
        <f>SUMPRODUCT(J81:U81,J78:U78)/SUM(J78:U78)</f>
        <v>128.125</v>
      </c>
      <c r="AK81" s="103">
        <f>SUMPRODUCT(V81:AG81,V78:AG78)/SUM(V78:AG78)</f>
        <v>100</v>
      </c>
      <c r="AL81" s="103">
        <f t="shared" ref="AL81:AN81" si="108">IF(AL78=0,0,VLOOKUP(AL78/4,$B$235:$C$239,2,TRUE))</f>
        <v>75</v>
      </c>
      <c r="AM81" s="103">
        <f t="shared" si="108"/>
        <v>75</v>
      </c>
      <c r="AN81" s="103">
        <f t="shared" si="108"/>
        <v>75</v>
      </c>
      <c r="AO81" s="1"/>
      <c r="AP81" s="1"/>
    </row>
    <row r="82" ht="12.75" customHeight="1">
      <c r="A82" s="1"/>
      <c r="B82" s="12"/>
      <c r="C82" s="45"/>
      <c r="D82" s="45"/>
      <c r="E82" s="113"/>
      <c r="F82" s="113"/>
      <c r="G82" s="113"/>
      <c r="H82" s="113"/>
      <c r="I82" s="113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23"/>
      <c r="AI82" s="23"/>
      <c r="AJ82" s="25"/>
      <c r="AK82" s="25"/>
      <c r="AL82" s="25"/>
      <c r="AM82" s="25"/>
      <c r="AN82" s="25"/>
      <c r="AO82" s="1"/>
      <c r="AP82" s="1"/>
    </row>
    <row r="83" ht="12.75" customHeight="1">
      <c r="A83" s="12"/>
      <c r="B83" s="12" t="s">
        <v>66</v>
      </c>
      <c r="C83" s="12"/>
      <c r="D83" s="12"/>
      <c r="E83" s="117">
        <v>0.0</v>
      </c>
      <c r="F83" s="117">
        <f t="shared" ref="F83:AG83" si="109">+E96</f>
        <v>0</v>
      </c>
      <c r="G83" s="117">
        <f t="shared" si="109"/>
        <v>0</v>
      </c>
      <c r="H83" s="117">
        <f t="shared" si="109"/>
        <v>0</v>
      </c>
      <c r="I83" s="117">
        <f t="shared" si="109"/>
        <v>0</v>
      </c>
      <c r="J83" s="118">
        <f t="shared" si="109"/>
        <v>0</v>
      </c>
      <c r="K83" s="118">
        <f t="shared" si="109"/>
        <v>0</v>
      </c>
      <c r="L83" s="118">
        <f t="shared" si="109"/>
        <v>90</v>
      </c>
      <c r="M83" s="118">
        <f t="shared" si="109"/>
        <v>90</v>
      </c>
      <c r="N83" s="118">
        <f t="shared" si="109"/>
        <v>191</v>
      </c>
      <c r="O83" s="118">
        <f t="shared" si="109"/>
        <v>143.25</v>
      </c>
      <c r="P83" s="118">
        <f t="shared" si="109"/>
        <v>111.4166667</v>
      </c>
      <c r="Q83" s="118">
        <f t="shared" si="109"/>
        <v>234.5833333</v>
      </c>
      <c r="R83" s="118">
        <f t="shared" si="109"/>
        <v>203.3055556</v>
      </c>
      <c r="S83" s="118">
        <f t="shared" si="109"/>
        <v>125.1111111</v>
      </c>
      <c r="T83" s="118">
        <f t="shared" si="109"/>
        <v>279.4166667</v>
      </c>
      <c r="U83" s="118">
        <f t="shared" si="109"/>
        <v>201.8009259</v>
      </c>
      <c r="V83" s="118">
        <f t="shared" si="109"/>
        <v>124.1851852</v>
      </c>
      <c r="W83" s="118">
        <f t="shared" si="109"/>
        <v>306.5694444</v>
      </c>
      <c r="X83" s="118">
        <f t="shared" si="109"/>
        <v>239.923913</v>
      </c>
      <c r="Y83" s="118">
        <f t="shared" si="109"/>
        <v>173.2783816</v>
      </c>
      <c r="Z83" s="118">
        <f t="shared" si="109"/>
        <v>391.6455314</v>
      </c>
      <c r="AA83" s="118">
        <f t="shared" si="109"/>
        <v>287.206723</v>
      </c>
      <c r="AB83" s="118">
        <f t="shared" si="109"/>
        <v>182.7679147</v>
      </c>
      <c r="AC83" s="118">
        <f t="shared" si="109"/>
        <v>455.2742552</v>
      </c>
      <c r="AD83" s="118">
        <f t="shared" si="109"/>
        <v>338.2037325</v>
      </c>
      <c r="AE83" s="118">
        <f t="shared" si="109"/>
        <v>221.1332097</v>
      </c>
      <c r="AF83" s="118">
        <f t="shared" si="109"/>
        <v>455.0391793</v>
      </c>
      <c r="AG83" s="118">
        <f t="shared" si="109"/>
        <v>299.0257464</v>
      </c>
      <c r="AH83" s="112"/>
      <c r="AI83" s="112"/>
      <c r="AJ83" s="118" t="str">
        <f t="shared" ref="AJ83:AN83" si="110">+AI96</f>
        <v/>
      </c>
      <c r="AK83" s="118">
        <f t="shared" si="110"/>
        <v>124.1851852</v>
      </c>
      <c r="AL83" s="118">
        <f t="shared" si="110"/>
        <v>143.0123135</v>
      </c>
      <c r="AM83" s="118">
        <f t="shared" si="110"/>
        <v>179.2524042</v>
      </c>
      <c r="AN83" s="118">
        <f t="shared" si="110"/>
        <v>282.8326796</v>
      </c>
      <c r="AO83" s="12"/>
      <c r="AP83" s="12"/>
    </row>
    <row r="84" ht="12.75" customHeight="1">
      <c r="A84" s="1"/>
      <c r="B84" s="1"/>
      <c r="C84" s="1"/>
      <c r="D84" s="1"/>
      <c r="E84" s="26"/>
      <c r="F84" s="26"/>
      <c r="G84" s="26"/>
      <c r="H84" s="26"/>
      <c r="I84" s="26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9"/>
      <c r="AI84" s="109"/>
      <c r="AJ84" s="108"/>
      <c r="AK84" s="108"/>
      <c r="AL84" s="108"/>
      <c r="AM84" s="108"/>
      <c r="AN84" s="108"/>
      <c r="AO84" s="1"/>
      <c r="AP84" s="1"/>
    </row>
    <row r="85" ht="12.75" customHeight="1">
      <c r="A85" s="1"/>
      <c r="B85" s="86" t="s">
        <v>71</v>
      </c>
      <c r="C85" s="27"/>
      <c r="D85" s="27"/>
      <c r="E85" s="26"/>
      <c r="F85" s="26"/>
      <c r="G85" s="26"/>
      <c r="H85" s="26"/>
      <c r="I85" s="26"/>
      <c r="J85" s="27">
        <f t="shared" ref="J85:AG85" si="111">IFERROR(J83*1000/J76,0)</f>
        <v>0</v>
      </c>
      <c r="K85" s="27">
        <f t="shared" si="111"/>
        <v>0</v>
      </c>
      <c r="L85" s="27">
        <f t="shared" si="111"/>
        <v>180</v>
      </c>
      <c r="M85" s="27">
        <f t="shared" si="111"/>
        <v>180</v>
      </c>
      <c r="N85" s="27">
        <f t="shared" si="111"/>
        <v>159.1666667</v>
      </c>
      <c r="O85" s="27">
        <f t="shared" si="111"/>
        <v>159.1666667</v>
      </c>
      <c r="P85" s="27">
        <f t="shared" si="111"/>
        <v>159.1666667</v>
      </c>
      <c r="Q85" s="27">
        <f t="shared" si="111"/>
        <v>156.3888889</v>
      </c>
      <c r="R85" s="27">
        <f t="shared" si="111"/>
        <v>156.3888889</v>
      </c>
      <c r="S85" s="27">
        <f t="shared" si="111"/>
        <v>156.3888889</v>
      </c>
      <c r="T85" s="27">
        <f t="shared" si="111"/>
        <v>155.2314815</v>
      </c>
      <c r="U85" s="27">
        <f t="shared" si="111"/>
        <v>155.2314815</v>
      </c>
      <c r="V85" s="27">
        <f t="shared" si="111"/>
        <v>155.2314815</v>
      </c>
      <c r="W85" s="27">
        <f t="shared" si="111"/>
        <v>133.2910628</v>
      </c>
      <c r="X85" s="27">
        <f t="shared" si="111"/>
        <v>133.2910628</v>
      </c>
      <c r="Y85" s="27">
        <f t="shared" si="111"/>
        <v>133.2910628</v>
      </c>
      <c r="Z85" s="27">
        <f t="shared" si="111"/>
        <v>130.5485105</v>
      </c>
      <c r="AA85" s="27">
        <f t="shared" si="111"/>
        <v>130.5485105</v>
      </c>
      <c r="AB85" s="27">
        <f t="shared" si="111"/>
        <v>130.5485105</v>
      </c>
      <c r="AC85" s="27">
        <f t="shared" si="111"/>
        <v>130.0783586</v>
      </c>
      <c r="AD85" s="27">
        <f t="shared" si="111"/>
        <v>130.0783586</v>
      </c>
      <c r="AE85" s="27">
        <f t="shared" si="111"/>
        <v>130.0783586</v>
      </c>
      <c r="AF85" s="27">
        <f t="shared" si="111"/>
        <v>130.0111941</v>
      </c>
      <c r="AG85" s="27">
        <f t="shared" si="111"/>
        <v>130.0111941</v>
      </c>
      <c r="AH85" s="109"/>
      <c r="AI85" s="109"/>
      <c r="AJ85" s="108"/>
      <c r="AK85" s="108"/>
      <c r="AL85" s="27">
        <f t="shared" ref="AL85:AN85" si="112">+AL81+AL67</f>
        <v>90</v>
      </c>
      <c r="AM85" s="27">
        <f t="shared" si="112"/>
        <v>90</v>
      </c>
      <c r="AN85" s="27">
        <f t="shared" si="112"/>
        <v>90</v>
      </c>
      <c r="AO85" s="1"/>
      <c r="AP85" s="1"/>
    </row>
    <row r="86" ht="12.75" customHeight="1">
      <c r="A86" s="1"/>
      <c r="B86" s="119" t="s">
        <v>72</v>
      </c>
      <c r="C86" s="114"/>
      <c r="D86" s="114"/>
      <c r="E86" s="117"/>
      <c r="F86" s="117"/>
      <c r="G86" s="117"/>
      <c r="H86" s="117"/>
      <c r="I86" s="117"/>
      <c r="J86" s="118">
        <f t="shared" ref="J86:AG86" si="113">+J77*J85/1000</f>
        <v>0</v>
      </c>
      <c r="K86" s="118">
        <f t="shared" si="113"/>
        <v>0</v>
      </c>
      <c r="L86" s="118">
        <f t="shared" si="113"/>
        <v>0</v>
      </c>
      <c r="M86" s="118">
        <f t="shared" si="113"/>
        <v>54</v>
      </c>
      <c r="N86" s="118">
        <f t="shared" si="113"/>
        <v>47.75</v>
      </c>
      <c r="O86" s="118">
        <f t="shared" si="113"/>
        <v>31.83333333</v>
      </c>
      <c r="P86" s="118">
        <f t="shared" si="113"/>
        <v>31.83333333</v>
      </c>
      <c r="Q86" s="118">
        <f t="shared" si="113"/>
        <v>31.27777778</v>
      </c>
      <c r="R86" s="118">
        <f t="shared" si="113"/>
        <v>78.19444444</v>
      </c>
      <c r="S86" s="118">
        <f t="shared" si="113"/>
        <v>78.19444444</v>
      </c>
      <c r="T86" s="118">
        <f t="shared" si="113"/>
        <v>77.61574074</v>
      </c>
      <c r="U86" s="118">
        <f t="shared" si="113"/>
        <v>77.61574074</v>
      </c>
      <c r="V86" s="118">
        <f t="shared" si="113"/>
        <v>77.61574074</v>
      </c>
      <c r="W86" s="118">
        <f t="shared" si="113"/>
        <v>66.6455314</v>
      </c>
      <c r="X86" s="118">
        <f t="shared" si="113"/>
        <v>66.6455314</v>
      </c>
      <c r="Y86" s="118">
        <f t="shared" si="113"/>
        <v>106.6328502</v>
      </c>
      <c r="Z86" s="118">
        <f t="shared" si="113"/>
        <v>104.4388084</v>
      </c>
      <c r="AA86" s="118">
        <f t="shared" si="113"/>
        <v>104.4388084</v>
      </c>
      <c r="AB86" s="118">
        <f t="shared" si="113"/>
        <v>117.4936594</v>
      </c>
      <c r="AC86" s="118">
        <f t="shared" si="113"/>
        <v>117.0705228</v>
      </c>
      <c r="AD86" s="118">
        <f t="shared" si="113"/>
        <v>117.0705228</v>
      </c>
      <c r="AE86" s="118">
        <f t="shared" si="113"/>
        <v>156.0940304</v>
      </c>
      <c r="AF86" s="118">
        <f t="shared" si="113"/>
        <v>156.0134329</v>
      </c>
      <c r="AG86" s="118">
        <f t="shared" si="113"/>
        <v>156.0134329</v>
      </c>
      <c r="AH86" s="109"/>
      <c r="AI86" s="109"/>
      <c r="AJ86" s="118">
        <f>+SUM(J86:U86)</f>
        <v>508.3148148</v>
      </c>
      <c r="AK86" s="118">
        <f>+SUM(V86:AG86)</f>
        <v>1346.172872</v>
      </c>
      <c r="AL86" s="118">
        <f t="shared" ref="AL86:AN86" si="114">+AL77*AL85/1000</f>
        <v>2457</v>
      </c>
      <c r="AM86" s="118">
        <f t="shared" si="114"/>
        <v>5247.45</v>
      </c>
      <c r="AN86" s="118">
        <f t="shared" si="114"/>
        <v>11211.291</v>
      </c>
      <c r="AO86" s="1"/>
      <c r="AP86" s="1"/>
    </row>
    <row r="87" ht="12.75" customHeight="1">
      <c r="A87" s="1"/>
      <c r="B87" s="1"/>
      <c r="C87" s="1"/>
      <c r="D87" s="1"/>
      <c r="E87" s="26"/>
      <c r="F87" s="26"/>
      <c r="G87" s="26"/>
      <c r="H87" s="26"/>
      <c r="I87" s="26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9"/>
      <c r="AI87" s="109"/>
      <c r="AJ87" s="108"/>
      <c r="AK87" s="108"/>
      <c r="AL87" s="108"/>
      <c r="AM87" s="108"/>
      <c r="AN87" s="108"/>
      <c r="AO87" s="1"/>
      <c r="AP87" s="1"/>
    </row>
    <row r="88" ht="12.75" customHeight="1">
      <c r="A88" s="1"/>
      <c r="B88" s="1" t="s">
        <v>73</v>
      </c>
      <c r="C88" s="1"/>
      <c r="D88" s="1"/>
      <c r="E88" s="26">
        <v>0.0</v>
      </c>
      <c r="F88" s="26">
        <v>0.0</v>
      </c>
      <c r="G88" s="26">
        <v>0.0</v>
      </c>
      <c r="H88" s="26">
        <v>0.0</v>
      </c>
      <c r="I88" s="26">
        <v>0.0</v>
      </c>
      <c r="J88" s="27">
        <f t="shared" ref="J88:AG88" si="115">+J71</f>
        <v>0</v>
      </c>
      <c r="K88" s="27">
        <f t="shared" si="115"/>
        <v>15</v>
      </c>
      <c r="L88" s="27">
        <f t="shared" si="115"/>
        <v>0</v>
      </c>
      <c r="M88" s="27">
        <f t="shared" si="115"/>
        <v>30</v>
      </c>
      <c r="N88" s="27">
        <f t="shared" si="115"/>
        <v>0</v>
      </c>
      <c r="O88" s="27">
        <f t="shared" si="115"/>
        <v>0</v>
      </c>
      <c r="P88" s="27">
        <f t="shared" si="115"/>
        <v>30</v>
      </c>
      <c r="Q88" s="27">
        <f t="shared" si="115"/>
        <v>0</v>
      </c>
      <c r="R88" s="27">
        <f t="shared" si="115"/>
        <v>0</v>
      </c>
      <c r="S88" s="27">
        <f t="shared" si="115"/>
        <v>45</v>
      </c>
      <c r="T88" s="27">
        <f t="shared" si="115"/>
        <v>0</v>
      </c>
      <c r="U88" s="27">
        <f t="shared" si="115"/>
        <v>0</v>
      </c>
      <c r="V88" s="27">
        <f t="shared" si="115"/>
        <v>60</v>
      </c>
      <c r="W88" s="27">
        <f t="shared" si="115"/>
        <v>0</v>
      </c>
      <c r="X88" s="27">
        <f t="shared" si="115"/>
        <v>0</v>
      </c>
      <c r="Y88" s="27">
        <f t="shared" si="115"/>
        <v>75</v>
      </c>
      <c r="Z88" s="27">
        <f t="shared" si="115"/>
        <v>0</v>
      </c>
      <c r="AA88" s="27">
        <f t="shared" si="115"/>
        <v>0</v>
      </c>
      <c r="AB88" s="27">
        <f t="shared" si="115"/>
        <v>90</v>
      </c>
      <c r="AC88" s="27">
        <f t="shared" si="115"/>
        <v>0</v>
      </c>
      <c r="AD88" s="27">
        <f t="shared" si="115"/>
        <v>0</v>
      </c>
      <c r="AE88" s="27">
        <f t="shared" si="115"/>
        <v>90</v>
      </c>
      <c r="AF88" s="27">
        <f t="shared" si="115"/>
        <v>0</v>
      </c>
      <c r="AG88" s="27">
        <f t="shared" si="115"/>
        <v>0</v>
      </c>
      <c r="AH88" s="4"/>
      <c r="AI88" s="4"/>
      <c r="AJ88" s="27">
        <f t="shared" ref="AJ88:AJ90" si="118">+SUM(J88:U88)</f>
        <v>120</v>
      </c>
      <c r="AK88" s="27">
        <f t="shared" ref="AK88:AK90" si="119">+SUM(V88:AG88)</f>
        <v>315</v>
      </c>
      <c r="AL88" s="27">
        <f t="shared" ref="AL88:AN88" si="116">+SUM(L88:W88)</f>
        <v>165</v>
      </c>
      <c r="AM88" s="27">
        <f t="shared" si="116"/>
        <v>165</v>
      </c>
      <c r="AN88" s="27">
        <f t="shared" si="116"/>
        <v>210</v>
      </c>
      <c r="AO88" s="1"/>
      <c r="AP88" s="1"/>
    </row>
    <row r="89" ht="12.75" customHeight="1">
      <c r="A89" s="1"/>
      <c r="B89" s="9" t="s">
        <v>74</v>
      </c>
      <c r="C89" s="9"/>
      <c r="D89" s="9"/>
      <c r="E89" s="26">
        <f t="shared" ref="E89:AG89" si="117">+E81*E78/1000</f>
        <v>0</v>
      </c>
      <c r="F89" s="26">
        <f t="shared" si="117"/>
        <v>0</v>
      </c>
      <c r="G89" s="26">
        <f t="shared" si="117"/>
        <v>0</v>
      </c>
      <c r="H89" s="26">
        <f t="shared" si="117"/>
        <v>0</v>
      </c>
      <c r="I89" s="26">
        <f t="shared" si="117"/>
        <v>0</v>
      </c>
      <c r="J89" s="27">
        <f t="shared" si="117"/>
        <v>0</v>
      </c>
      <c r="K89" s="27">
        <f t="shared" si="117"/>
        <v>75</v>
      </c>
      <c r="L89" s="27">
        <f t="shared" si="117"/>
        <v>0</v>
      </c>
      <c r="M89" s="27">
        <f t="shared" si="117"/>
        <v>125</v>
      </c>
      <c r="N89" s="27">
        <f t="shared" si="117"/>
        <v>0</v>
      </c>
      <c r="O89" s="27">
        <f t="shared" si="117"/>
        <v>0</v>
      </c>
      <c r="P89" s="27">
        <f t="shared" si="117"/>
        <v>125</v>
      </c>
      <c r="Q89" s="27">
        <f t="shared" si="117"/>
        <v>0</v>
      </c>
      <c r="R89" s="27">
        <f t="shared" si="117"/>
        <v>0</v>
      </c>
      <c r="S89" s="27">
        <f t="shared" si="117"/>
        <v>187.5</v>
      </c>
      <c r="T89" s="27">
        <f t="shared" si="117"/>
        <v>0</v>
      </c>
      <c r="U89" s="27">
        <f t="shared" si="117"/>
        <v>0</v>
      </c>
      <c r="V89" s="27">
        <f t="shared" si="117"/>
        <v>200</v>
      </c>
      <c r="W89" s="27">
        <f t="shared" si="117"/>
        <v>0</v>
      </c>
      <c r="X89" s="27">
        <f t="shared" si="117"/>
        <v>0</v>
      </c>
      <c r="Y89" s="27">
        <f t="shared" si="117"/>
        <v>250</v>
      </c>
      <c r="Z89" s="27">
        <f t="shared" si="117"/>
        <v>0</v>
      </c>
      <c r="AA89" s="27">
        <f t="shared" si="117"/>
        <v>0</v>
      </c>
      <c r="AB89" s="27">
        <f t="shared" si="117"/>
        <v>300</v>
      </c>
      <c r="AC89" s="27">
        <f t="shared" si="117"/>
        <v>0</v>
      </c>
      <c r="AD89" s="27">
        <f t="shared" si="117"/>
        <v>0</v>
      </c>
      <c r="AE89" s="27">
        <f t="shared" si="117"/>
        <v>300</v>
      </c>
      <c r="AF89" s="27">
        <f t="shared" si="117"/>
        <v>0</v>
      </c>
      <c r="AG89" s="27">
        <f t="shared" si="117"/>
        <v>0</v>
      </c>
      <c r="AH89" s="4"/>
      <c r="AI89" s="4"/>
      <c r="AJ89" s="57">
        <f t="shared" si="118"/>
        <v>512.5</v>
      </c>
      <c r="AK89" s="57">
        <f t="shared" si="119"/>
        <v>1050</v>
      </c>
      <c r="AL89" s="57">
        <f t="shared" ref="AL89:AN89" si="120">+AL78*AL81/1000</f>
        <v>2114.377003</v>
      </c>
      <c r="AM89" s="57">
        <f t="shared" si="120"/>
        <v>4459.191896</v>
      </c>
      <c r="AN89" s="57">
        <f t="shared" si="120"/>
        <v>9474.618483</v>
      </c>
      <c r="AO89" s="1"/>
      <c r="AP89" s="1"/>
    </row>
    <row r="90" ht="12.75" customHeight="1">
      <c r="A90" s="12"/>
      <c r="B90" s="119" t="s">
        <v>75</v>
      </c>
      <c r="C90" s="12"/>
      <c r="D90" s="12"/>
      <c r="E90" s="120">
        <f t="shared" ref="E90:AG90" si="121">+E88+E89</f>
        <v>0</v>
      </c>
      <c r="F90" s="120">
        <f t="shared" si="121"/>
        <v>0</v>
      </c>
      <c r="G90" s="120">
        <f t="shared" si="121"/>
        <v>0</v>
      </c>
      <c r="H90" s="120">
        <f t="shared" si="121"/>
        <v>0</v>
      </c>
      <c r="I90" s="120">
        <f t="shared" si="121"/>
        <v>0</v>
      </c>
      <c r="J90" s="121">
        <f t="shared" si="121"/>
        <v>0</v>
      </c>
      <c r="K90" s="121">
        <f t="shared" si="121"/>
        <v>90</v>
      </c>
      <c r="L90" s="121">
        <f t="shared" si="121"/>
        <v>0</v>
      </c>
      <c r="M90" s="121">
        <f t="shared" si="121"/>
        <v>155</v>
      </c>
      <c r="N90" s="121">
        <f t="shared" si="121"/>
        <v>0</v>
      </c>
      <c r="O90" s="121">
        <f t="shared" si="121"/>
        <v>0</v>
      </c>
      <c r="P90" s="121">
        <f t="shared" si="121"/>
        <v>155</v>
      </c>
      <c r="Q90" s="121">
        <f t="shared" si="121"/>
        <v>0</v>
      </c>
      <c r="R90" s="121">
        <f t="shared" si="121"/>
        <v>0</v>
      </c>
      <c r="S90" s="121">
        <f t="shared" si="121"/>
        <v>232.5</v>
      </c>
      <c r="T90" s="121">
        <f t="shared" si="121"/>
        <v>0</v>
      </c>
      <c r="U90" s="121">
        <f t="shared" si="121"/>
        <v>0</v>
      </c>
      <c r="V90" s="121">
        <f t="shared" si="121"/>
        <v>260</v>
      </c>
      <c r="W90" s="121">
        <f t="shared" si="121"/>
        <v>0</v>
      </c>
      <c r="X90" s="121">
        <f t="shared" si="121"/>
        <v>0</v>
      </c>
      <c r="Y90" s="121">
        <f t="shared" si="121"/>
        <v>325</v>
      </c>
      <c r="Z90" s="121">
        <f t="shared" si="121"/>
        <v>0</v>
      </c>
      <c r="AA90" s="121">
        <f t="shared" si="121"/>
        <v>0</v>
      </c>
      <c r="AB90" s="121">
        <f t="shared" si="121"/>
        <v>390</v>
      </c>
      <c r="AC90" s="121">
        <f t="shared" si="121"/>
        <v>0</v>
      </c>
      <c r="AD90" s="121">
        <f t="shared" si="121"/>
        <v>0</v>
      </c>
      <c r="AE90" s="121">
        <f t="shared" si="121"/>
        <v>390</v>
      </c>
      <c r="AF90" s="121">
        <f t="shared" si="121"/>
        <v>0</v>
      </c>
      <c r="AG90" s="121">
        <f t="shared" si="121"/>
        <v>0</v>
      </c>
      <c r="AH90" s="112"/>
      <c r="AI90" s="112"/>
      <c r="AJ90" s="118">
        <f t="shared" si="118"/>
        <v>632.5</v>
      </c>
      <c r="AK90" s="118">
        <f t="shared" si="119"/>
        <v>1365</v>
      </c>
      <c r="AL90" s="118">
        <f t="shared" ref="AL90:AN90" si="122">+AL88+AL89</f>
        <v>2279.377003</v>
      </c>
      <c r="AM90" s="118">
        <f t="shared" si="122"/>
        <v>4624.191896</v>
      </c>
      <c r="AN90" s="118">
        <f t="shared" si="122"/>
        <v>9684.618483</v>
      </c>
      <c r="AO90" s="12"/>
      <c r="AP90" s="12"/>
    </row>
    <row r="91" ht="12.75" customHeight="1">
      <c r="A91" s="1"/>
      <c r="B91" s="12"/>
      <c r="C91" s="45"/>
      <c r="D91" s="45"/>
      <c r="E91" s="113"/>
      <c r="F91" s="113"/>
      <c r="G91" s="113"/>
      <c r="H91" s="113"/>
      <c r="I91" s="113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23"/>
      <c r="AI91" s="23"/>
      <c r="AJ91" s="25"/>
      <c r="AK91" s="25"/>
      <c r="AL91" s="25"/>
      <c r="AM91" s="25"/>
      <c r="AN91" s="25"/>
      <c r="AO91" s="1"/>
      <c r="AP91" s="1"/>
    </row>
    <row r="92" ht="12.75" customHeight="1">
      <c r="A92" s="1"/>
      <c r="B92" s="52"/>
      <c r="C92" s="1"/>
      <c r="D92" s="1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106"/>
      <c r="AI92" s="106"/>
      <c r="AJ92" s="107"/>
      <c r="AK92" s="107"/>
      <c r="AL92" s="107"/>
      <c r="AM92" s="107"/>
      <c r="AN92" s="107"/>
      <c r="AO92" s="1"/>
      <c r="AP92" s="1"/>
    </row>
    <row r="93" ht="12.75" customHeight="1">
      <c r="A93" s="1"/>
      <c r="B93" s="103" t="s">
        <v>66</v>
      </c>
      <c r="C93" s="103"/>
      <c r="D93" s="103"/>
      <c r="E93" s="89">
        <v>0.0</v>
      </c>
      <c r="F93" s="89">
        <f t="shared" ref="F93:AG93" si="123">+E96</f>
        <v>0</v>
      </c>
      <c r="G93" s="89">
        <f t="shared" si="123"/>
        <v>0</v>
      </c>
      <c r="H93" s="89">
        <f t="shared" si="123"/>
        <v>0</v>
      </c>
      <c r="I93" s="89">
        <f t="shared" si="123"/>
        <v>0</v>
      </c>
      <c r="J93" s="103">
        <f t="shared" si="123"/>
        <v>0</v>
      </c>
      <c r="K93" s="103">
        <f t="shared" si="123"/>
        <v>0</v>
      </c>
      <c r="L93" s="103">
        <f t="shared" si="123"/>
        <v>90</v>
      </c>
      <c r="M93" s="103">
        <f t="shared" si="123"/>
        <v>90</v>
      </c>
      <c r="N93" s="103">
        <f t="shared" si="123"/>
        <v>191</v>
      </c>
      <c r="O93" s="103">
        <f t="shared" si="123"/>
        <v>143.25</v>
      </c>
      <c r="P93" s="103">
        <f t="shared" si="123"/>
        <v>111.4166667</v>
      </c>
      <c r="Q93" s="103">
        <f t="shared" si="123"/>
        <v>234.5833333</v>
      </c>
      <c r="R93" s="103">
        <f t="shared" si="123"/>
        <v>203.3055556</v>
      </c>
      <c r="S93" s="103">
        <f t="shared" si="123"/>
        <v>125.1111111</v>
      </c>
      <c r="T93" s="103">
        <f t="shared" si="123"/>
        <v>279.4166667</v>
      </c>
      <c r="U93" s="103">
        <f t="shared" si="123"/>
        <v>201.8009259</v>
      </c>
      <c r="V93" s="103">
        <f t="shared" si="123"/>
        <v>124.1851852</v>
      </c>
      <c r="W93" s="103">
        <f t="shared" si="123"/>
        <v>306.5694444</v>
      </c>
      <c r="X93" s="103">
        <f t="shared" si="123"/>
        <v>239.923913</v>
      </c>
      <c r="Y93" s="103">
        <f t="shared" si="123"/>
        <v>173.2783816</v>
      </c>
      <c r="Z93" s="103">
        <f t="shared" si="123"/>
        <v>391.6455314</v>
      </c>
      <c r="AA93" s="103">
        <f t="shared" si="123"/>
        <v>287.206723</v>
      </c>
      <c r="AB93" s="103">
        <f t="shared" si="123"/>
        <v>182.7679147</v>
      </c>
      <c r="AC93" s="103">
        <f t="shared" si="123"/>
        <v>455.2742552</v>
      </c>
      <c r="AD93" s="103">
        <f t="shared" si="123"/>
        <v>338.2037325</v>
      </c>
      <c r="AE93" s="103">
        <f t="shared" si="123"/>
        <v>221.1332097</v>
      </c>
      <c r="AF93" s="103">
        <f t="shared" si="123"/>
        <v>455.0391793</v>
      </c>
      <c r="AG93" s="103">
        <f t="shared" si="123"/>
        <v>299.0257464</v>
      </c>
      <c r="AH93" s="109"/>
      <c r="AI93" s="109"/>
      <c r="AJ93" s="103" t="str">
        <f t="shared" ref="AJ93:AN93" si="124">+AJ83</f>
        <v/>
      </c>
      <c r="AK93" s="103">
        <f t="shared" si="124"/>
        <v>124.1851852</v>
      </c>
      <c r="AL93" s="103">
        <f t="shared" si="124"/>
        <v>143.0123135</v>
      </c>
      <c r="AM93" s="103">
        <f t="shared" si="124"/>
        <v>179.2524042</v>
      </c>
      <c r="AN93" s="103">
        <f t="shared" si="124"/>
        <v>282.8326796</v>
      </c>
      <c r="AO93" s="1"/>
      <c r="AP93" s="1"/>
    </row>
    <row r="94" ht="12.75" customHeight="1">
      <c r="A94" s="1"/>
      <c r="B94" s="103" t="str">
        <f>B86</f>
        <v>COGS Product ($000)</v>
      </c>
      <c r="C94" s="103"/>
      <c r="D94" s="103"/>
      <c r="E94" s="26" t="str">
        <f t="shared" ref="E94:AG94" si="125">+E86</f>
        <v/>
      </c>
      <c r="F94" s="26" t="str">
        <f t="shared" si="125"/>
        <v/>
      </c>
      <c r="G94" s="26" t="str">
        <f t="shared" si="125"/>
        <v/>
      </c>
      <c r="H94" s="26" t="str">
        <f t="shared" si="125"/>
        <v/>
      </c>
      <c r="I94" s="26" t="str">
        <f t="shared" si="125"/>
        <v/>
      </c>
      <c r="J94" s="27">
        <f t="shared" si="125"/>
        <v>0</v>
      </c>
      <c r="K94" s="27">
        <f t="shared" si="125"/>
        <v>0</v>
      </c>
      <c r="L94" s="27">
        <f t="shared" si="125"/>
        <v>0</v>
      </c>
      <c r="M94" s="27">
        <f t="shared" si="125"/>
        <v>54</v>
      </c>
      <c r="N94" s="27">
        <f t="shared" si="125"/>
        <v>47.75</v>
      </c>
      <c r="O94" s="27">
        <f t="shared" si="125"/>
        <v>31.83333333</v>
      </c>
      <c r="P94" s="27">
        <f t="shared" si="125"/>
        <v>31.83333333</v>
      </c>
      <c r="Q94" s="27">
        <f t="shared" si="125"/>
        <v>31.27777778</v>
      </c>
      <c r="R94" s="27">
        <f t="shared" si="125"/>
        <v>78.19444444</v>
      </c>
      <c r="S94" s="27">
        <f t="shared" si="125"/>
        <v>78.19444444</v>
      </c>
      <c r="T94" s="27">
        <f t="shared" si="125"/>
        <v>77.61574074</v>
      </c>
      <c r="U94" s="27">
        <f t="shared" si="125"/>
        <v>77.61574074</v>
      </c>
      <c r="V94" s="27">
        <f t="shared" si="125"/>
        <v>77.61574074</v>
      </c>
      <c r="W94" s="27">
        <f t="shared" si="125"/>
        <v>66.6455314</v>
      </c>
      <c r="X94" s="27">
        <f t="shared" si="125"/>
        <v>66.6455314</v>
      </c>
      <c r="Y94" s="27">
        <f t="shared" si="125"/>
        <v>106.6328502</v>
      </c>
      <c r="Z94" s="27">
        <f t="shared" si="125"/>
        <v>104.4388084</v>
      </c>
      <c r="AA94" s="27">
        <f t="shared" si="125"/>
        <v>104.4388084</v>
      </c>
      <c r="AB94" s="27">
        <f t="shared" si="125"/>
        <v>117.4936594</v>
      </c>
      <c r="AC94" s="27">
        <f t="shared" si="125"/>
        <v>117.0705228</v>
      </c>
      <c r="AD94" s="27">
        <f t="shared" si="125"/>
        <v>117.0705228</v>
      </c>
      <c r="AE94" s="27">
        <f t="shared" si="125"/>
        <v>156.0940304</v>
      </c>
      <c r="AF94" s="27">
        <f t="shared" si="125"/>
        <v>156.0134329</v>
      </c>
      <c r="AG94" s="27">
        <f t="shared" si="125"/>
        <v>156.0134329</v>
      </c>
      <c r="AH94" s="46"/>
      <c r="AI94" s="46"/>
      <c r="AJ94" s="27">
        <f t="shared" ref="AJ94:AK94" si="126">+AJ86</f>
        <v>508.3148148</v>
      </c>
      <c r="AK94" s="27">
        <f t="shared" si="126"/>
        <v>1346.172872</v>
      </c>
      <c r="AL94" s="27">
        <f t="shared" ref="AL94:AN94" si="127">+AL93+AL95-AL96</f>
        <v>2243.136913</v>
      </c>
      <c r="AM94" s="27">
        <f t="shared" si="127"/>
        <v>4520.611621</v>
      </c>
      <c r="AN94" s="27">
        <f t="shared" si="127"/>
        <v>9526.367303</v>
      </c>
      <c r="AO94" s="1"/>
      <c r="AP94" s="1"/>
    </row>
    <row r="95" ht="12.75" customHeight="1">
      <c r="A95" s="1"/>
      <c r="B95" s="103" t="s">
        <v>75</v>
      </c>
      <c r="C95" s="103"/>
      <c r="D95" s="103"/>
      <c r="E95" s="26">
        <f t="shared" ref="E95:AG95" si="128">+E90</f>
        <v>0</v>
      </c>
      <c r="F95" s="26">
        <f t="shared" si="128"/>
        <v>0</v>
      </c>
      <c r="G95" s="26">
        <f t="shared" si="128"/>
        <v>0</v>
      </c>
      <c r="H95" s="26">
        <f t="shared" si="128"/>
        <v>0</v>
      </c>
      <c r="I95" s="26">
        <f t="shared" si="128"/>
        <v>0</v>
      </c>
      <c r="J95" s="27">
        <f t="shared" si="128"/>
        <v>0</v>
      </c>
      <c r="K95" s="27">
        <f t="shared" si="128"/>
        <v>90</v>
      </c>
      <c r="L95" s="27">
        <f t="shared" si="128"/>
        <v>0</v>
      </c>
      <c r="M95" s="27">
        <f t="shared" si="128"/>
        <v>155</v>
      </c>
      <c r="N95" s="27">
        <f t="shared" si="128"/>
        <v>0</v>
      </c>
      <c r="O95" s="27">
        <f t="shared" si="128"/>
        <v>0</v>
      </c>
      <c r="P95" s="27">
        <f t="shared" si="128"/>
        <v>155</v>
      </c>
      <c r="Q95" s="27">
        <f t="shared" si="128"/>
        <v>0</v>
      </c>
      <c r="R95" s="27">
        <f t="shared" si="128"/>
        <v>0</v>
      </c>
      <c r="S95" s="27">
        <f t="shared" si="128"/>
        <v>232.5</v>
      </c>
      <c r="T95" s="27">
        <f t="shared" si="128"/>
        <v>0</v>
      </c>
      <c r="U95" s="27">
        <f t="shared" si="128"/>
        <v>0</v>
      </c>
      <c r="V95" s="27">
        <f t="shared" si="128"/>
        <v>260</v>
      </c>
      <c r="W95" s="27">
        <f t="shared" si="128"/>
        <v>0</v>
      </c>
      <c r="X95" s="27">
        <f t="shared" si="128"/>
        <v>0</v>
      </c>
      <c r="Y95" s="27">
        <f t="shared" si="128"/>
        <v>325</v>
      </c>
      <c r="Z95" s="27">
        <f t="shared" si="128"/>
        <v>0</v>
      </c>
      <c r="AA95" s="27">
        <f t="shared" si="128"/>
        <v>0</v>
      </c>
      <c r="AB95" s="27">
        <f t="shared" si="128"/>
        <v>390</v>
      </c>
      <c r="AC95" s="27">
        <f t="shared" si="128"/>
        <v>0</v>
      </c>
      <c r="AD95" s="27">
        <f t="shared" si="128"/>
        <v>0</v>
      </c>
      <c r="AE95" s="27">
        <f t="shared" si="128"/>
        <v>390</v>
      </c>
      <c r="AF95" s="27">
        <f t="shared" si="128"/>
        <v>0</v>
      </c>
      <c r="AG95" s="27">
        <f t="shared" si="128"/>
        <v>0</v>
      </c>
      <c r="AH95" s="46"/>
      <c r="AI95" s="46"/>
      <c r="AJ95" s="27">
        <f t="shared" ref="AJ95:AN95" si="129">+AJ90</f>
        <v>632.5</v>
      </c>
      <c r="AK95" s="27">
        <f t="shared" si="129"/>
        <v>1365</v>
      </c>
      <c r="AL95" s="27">
        <f t="shared" si="129"/>
        <v>2279.377003</v>
      </c>
      <c r="AM95" s="27">
        <f t="shared" si="129"/>
        <v>4624.191896</v>
      </c>
      <c r="AN95" s="27">
        <f t="shared" si="129"/>
        <v>9684.618483</v>
      </c>
      <c r="AO95" s="1"/>
      <c r="AP95" s="1"/>
    </row>
    <row r="96" ht="12.75" customHeight="1">
      <c r="A96" s="1"/>
      <c r="B96" s="28" t="s">
        <v>68</v>
      </c>
      <c r="C96" s="28"/>
      <c r="D96" s="28"/>
      <c r="E96" s="122">
        <f t="shared" ref="E96:AG96" si="130">+E93-E94+E95</f>
        <v>0</v>
      </c>
      <c r="F96" s="122">
        <f t="shared" si="130"/>
        <v>0</v>
      </c>
      <c r="G96" s="122">
        <f t="shared" si="130"/>
        <v>0</v>
      </c>
      <c r="H96" s="122">
        <f t="shared" si="130"/>
        <v>0</v>
      </c>
      <c r="I96" s="122">
        <f t="shared" si="130"/>
        <v>0</v>
      </c>
      <c r="J96" s="121">
        <f t="shared" si="130"/>
        <v>0</v>
      </c>
      <c r="K96" s="121">
        <f t="shared" si="130"/>
        <v>90</v>
      </c>
      <c r="L96" s="121">
        <f t="shared" si="130"/>
        <v>90</v>
      </c>
      <c r="M96" s="121">
        <f t="shared" si="130"/>
        <v>191</v>
      </c>
      <c r="N96" s="121">
        <f t="shared" si="130"/>
        <v>143.25</v>
      </c>
      <c r="O96" s="121">
        <f t="shared" si="130"/>
        <v>111.4166667</v>
      </c>
      <c r="P96" s="121">
        <f t="shared" si="130"/>
        <v>234.5833333</v>
      </c>
      <c r="Q96" s="121">
        <f t="shared" si="130"/>
        <v>203.3055556</v>
      </c>
      <c r="R96" s="121">
        <f t="shared" si="130"/>
        <v>125.1111111</v>
      </c>
      <c r="S96" s="121">
        <f t="shared" si="130"/>
        <v>279.4166667</v>
      </c>
      <c r="T96" s="121">
        <f t="shared" si="130"/>
        <v>201.8009259</v>
      </c>
      <c r="U96" s="121">
        <f t="shared" si="130"/>
        <v>124.1851852</v>
      </c>
      <c r="V96" s="121">
        <f t="shared" si="130"/>
        <v>306.5694444</v>
      </c>
      <c r="W96" s="121">
        <f t="shared" si="130"/>
        <v>239.923913</v>
      </c>
      <c r="X96" s="121">
        <f t="shared" si="130"/>
        <v>173.2783816</v>
      </c>
      <c r="Y96" s="121">
        <f t="shared" si="130"/>
        <v>391.6455314</v>
      </c>
      <c r="Z96" s="121">
        <f t="shared" si="130"/>
        <v>287.206723</v>
      </c>
      <c r="AA96" s="121">
        <f t="shared" si="130"/>
        <v>182.7679147</v>
      </c>
      <c r="AB96" s="121">
        <f t="shared" si="130"/>
        <v>455.2742552</v>
      </c>
      <c r="AC96" s="121">
        <f t="shared" si="130"/>
        <v>338.2037325</v>
      </c>
      <c r="AD96" s="121">
        <f t="shared" si="130"/>
        <v>221.1332097</v>
      </c>
      <c r="AE96" s="121">
        <f t="shared" si="130"/>
        <v>455.0391793</v>
      </c>
      <c r="AF96" s="121">
        <f t="shared" si="130"/>
        <v>299.0257464</v>
      </c>
      <c r="AG96" s="121">
        <f t="shared" si="130"/>
        <v>143.0123135</v>
      </c>
      <c r="AH96" s="123"/>
      <c r="AI96" s="123"/>
      <c r="AJ96" s="121">
        <f t="shared" ref="AJ96:AK96" si="131">+AJ93-AJ94+AJ95</f>
        <v>124.1851852</v>
      </c>
      <c r="AK96" s="121">
        <f t="shared" si="131"/>
        <v>143.0123135</v>
      </c>
      <c r="AL96" s="121">
        <f t="shared" ref="AL96:AN96" si="132">+(AL81+AL67)*AL79/1000</f>
        <v>179.2524042</v>
      </c>
      <c r="AM96" s="121">
        <f t="shared" si="132"/>
        <v>282.8326796</v>
      </c>
      <c r="AN96" s="121">
        <f t="shared" si="132"/>
        <v>441.0838592</v>
      </c>
      <c r="AO96" s="1"/>
      <c r="AP96" s="1"/>
    </row>
    <row r="97" ht="12.75" customHeight="1">
      <c r="A97" s="1"/>
      <c r="B97" s="12"/>
      <c r="C97" s="12"/>
      <c r="D97" s="12"/>
      <c r="E97" s="117"/>
      <c r="F97" s="117"/>
      <c r="G97" s="117"/>
      <c r="H97" s="117"/>
      <c r="I97" s="117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3"/>
      <c r="AI97" s="123"/>
      <c r="AJ97" s="124"/>
      <c r="AK97" s="124"/>
      <c r="AL97" s="124"/>
      <c r="AM97" s="124"/>
      <c r="AN97" s="124"/>
      <c r="AO97" s="1"/>
      <c r="AP97" s="1"/>
    </row>
    <row r="98" ht="12.75" customHeight="1">
      <c r="A98" s="1"/>
      <c r="B98" s="2" t="s">
        <v>76</v>
      </c>
      <c r="C98" s="95"/>
      <c r="D98" s="95"/>
      <c r="E98" s="96"/>
      <c r="F98" s="96"/>
      <c r="G98" s="96"/>
      <c r="H98" s="96"/>
      <c r="I98" s="96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23"/>
      <c r="AI98" s="23"/>
      <c r="AJ98" s="95"/>
      <c r="AK98" s="95"/>
      <c r="AL98" s="95"/>
      <c r="AM98" s="95"/>
      <c r="AN98" s="95"/>
      <c r="AO98" s="1"/>
      <c r="AP98" s="1"/>
    </row>
    <row r="99" ht="12.75" customHeight="1">
      <c r="A99" s="1"/>
      <c r="B99" s="45"/>
      <c r="C99" s="25"/>
      <c r="D99" s="25"/>
      <c r="E99" s="24"/>
      <c r="F99" s="24"/>
      <c r="G99" s="24"/>
      <c r="H99" s="24"/>
      <c r="I99" s="24"/>
      <c r="J99" s="25"/>
      <c r="K99" s="1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3"/>
      <c r="AI99" s="23"/>
      <c r="AJ99" s="25"/>
      <c r="AK99" s="25"/>
      <c r="AL99" s="25">
        <f>+AL10*1/4*100%+AL10*1/4*75%+AL10*1/4*50%+AL10*1/4*25%</f>
        <v>7.5</v>
      </c>
      <c r="AM99" s="25"/>
      <c r="AN99" s="25"/>
      <c r="AO99" s="1"/>
      <c r="AP99" s="1"/>
    </row>
    <row r="100" ht="12.75" customHeight="1">
      <c r="A100" s="1"/>
      <c r="B100" s="11" t="s">
        <v>77</v>
      </c>
      <c r="C100" s="97"/>
      <c r="D100" s="97"/>
      <c r="E100" s="98"/>
      <c r="F100" s="98"/>
      <c r="G100" s="98"/>
      <c r="H100" s="98"/>
      <c r="I100" s="98"/>
      <c r="J100" s="97"/>
      <c r="K100" s="99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23"/>
      <c r="AI100" s="23"/>
      <c r="AJ100" s="97"/>
      <c r="AK100" s="97"/>
      <c r="AL100" s="97"/>
      <c r="AM100" s="97"/>
      <c r="AN100" s="97"/>
      <c r="AO100" s="1"/>
      <c r="AP100" s="1"/>
    </row>
    <row r="101" ht="12.75" customHeight="1">
      <c r="A101" s="1"/>
      <c r="B101" s="45"/>
      <c r="C101" s="25"/>
      <c r="D101" s="25"/>
      <c r="E101" s="24"/>
      <c r="F101" s="24"/>
      <c r="G101" s="24"/>
      <c r="H101" s="24"/>
      <c r="I101" s="24"/>
      <c r="J101" s="25"/>
      <c r="K101" s="1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3"/>
      <c r="AI101" s="23"/>
      <c r="AJ101" s="25"/>
      <c r="AK101" s="25"/>
      <c r="AL101" s="25"/>
      <c r="AM101" s="25"/>
      <c r="AN101" s="25"/>
      <c r="AO101" s="1"/>
      <c r="AP101" s="1"/>
    </row>
    <row r="102" ht="12.75" customHeight="1">
      <c r="A102" s="1"/>
      <c r="B102" s="1" t="s">
        <v>45</v>
      </c>
      <c r="C102" s="1"/>
      <c r="D102" s="1"/>
      <c r="E102" s="26">
        <f t="shared" ref="E102:AG102" si="133">E29</f>
        <v>0</v>
      </c>
      <c r="F102" s="26">
        <f t="shared" si="133"/>
        <v>0</v>
      </c>
      <c r="G102" s="26">
        <f t="shared" si="133"/>
        <v>0</v>
      </c>
      <c r="H102" s="26">
        <f t="shared" si="133"/>
        <v>0</v>
      </c>
      <c r="I102" s="26">
        <f t="shared" si="133"/>
        <v>0</v>
      </c>
      <c r="J102" s="27">
        <f t="shared" si="133"/>
        <v>0</v>
      </c>
      <c r="K102" s="27">
        <f t="shared" si="133"/>
        <v>0</v>
      </c>
      <c r="L102" s="27">
        <f t="shared" si="133"/>
        <v>0</v>
      </c>
      <c r="M102" s="27">
        <f t="shared" si="133"/>
        <v>300</v>
      </c>
      <c r="N102" s="27">
        <f t="shared" si="133"/>
        <v>300</v>
      </c>
      <c r="O102" s="27">
        <f t="shared" si="133"/>
        <v>200</v>
      </c>
      <c r="P102" s="27">
        <f t="shared" si="133"/>
        <v>200</v>
      </c>
      <c r="Q102" s="27">
        <f t="shared" si="133"/>
        <v>200</v>
      </c>
      <c r="R102" s="27">
        <f t="shared" si="133"/>
        <v>500</v>
      </c>
      <c r="S102" s="27">
        <f t="shared" si="133"/>
        <v>500</v>
      </c>
      <c r="T102" s="27">
        <f t="shared" si="133"/>
        <v>500</v>
      </c>
      <c r="U102" s="27">
        <f t="shared" si="133"/>
        <v>500</v>
      </c>
      <c r="V102" s="27">
        <f t="shared" si="133"/>
        <v>500</v>
      </c>
      <c r="W102" s="27">
        <f t="shared" si="133"/>
        <v>500</v>
      </c>
      <c r="X102" s="27">
        <f t="shared" si="133"/>
        <v>500</v>
      </c>
      <c r="Y102" s="27">
        <f t="shared" si="133"/>
        <v>800</v>
      </c>
      <c r="Z102" s="27">
        <f t="shared" si="133"/>
        <v>800</v>
      </c>
      <c r="AA102" s="27">
        <f t="shared" si="133"/>
        <v>800</v>
      </c>
      <c r="AB102" s="27">
        <f t="shared" si="133"/>
        <v>900</v>
      </c>
      <c r="AC102" s="27">
        <f t="shared" si="133"/>
        <v>900</v>
      </c>
      <c r="AD102" s="27">
        <f t="shared" si="133"/>
        <v>900</v>
      </c>
      <c r="AE102" s="27">
        <f t="shared" si="133"/>
        <v>1200</v>
      </c>
      <c r="AF102" s="27">
        <f t="shared" si="133"/>
        <v>1200</v>
      </c>
      <c r="AG102" s="27">
        <f t="shared" si="133"/>
        <v>1200</v>
      </c>
      <c r="AH102" s="4"/>
      <c r="AI102" s="4"/>
      <c r="AJ102" s="27">
        <f>SUM(J102:U102)</f>
        <v>3200</v>
      </c>
      <c r="AK102" s="27">
        <f>SUM(V102:AG102)</f>
        <v>10200</v>
      </c>
      <c r="AL102" s="27">
        <f t="shared" ref="AL102:AN102" si="134">AL29</f>
        <v>27300</v>
      </c>
      <c r="AM102" s="27">
        <f t="shared" si="134"/>
        <v>58305</v>
      </c>
      <c r="AN102" s="27">
        <f t="shared" si="134"/>
        <v>124569.9</v>
      </c>
      <c r="AO102" s="1"/>
      <c r="AP102" s="1"/>
    </row>
    <row r="103" ht="12.75" customHeight="1">
      <c r="A103" s="1"/>
      <c r="B103" s="1" t="s">
        <v>78</v>
      </c>
      <c r="C103" s="1"/>
      <c r="D103" s="1"/>
      <c r="E103" s="26">
        <v>0.0</v>
      </c>
      <c r="F103" s="26">
        <v>0.0</v>
      </c>
      <c r="G103" s="26">
        <v>0.0</v>
      </c>
      <c r="H103" s="26">
        <v>0.0</v>
      </c>
      <c r="I103" s="26">
        <v>0.0</v>
      </c>
      <c r="J103" s="126">
        <v>400.0</v>
      </c>
      <c r="K103" s="127">
        <f t="shared" ref="K103:U103" si="135">J103</f>
        <v>400</v>
      </c>
      <c r="L103" s="127">
        <f t="shared" si="135"/>
        <v>400</v>
      </c>
      <c r="M103" s="127">
        <f t="shared" si="135"/>
        <v>400</v>
      </c>
      <c r="N103" s="127">
        <f t="shared" si="135"/>
        <v>400</v>
      </c>
      <c r="O103" s="127">
        <f t="shared" si="135"/>
        <v>400</v>
      </c>
      <c r="P103" s="127">
        <f t="shared" si="135"/>
        <v>400</v>
      </c>
      <c r="Q103" s="127">
        <f t="shared" si="135"/>
        <v>400</v>
      </c>
      <c r="R103" s="127">
        <f t="shared" si="135"/>
        <v>400</v>
      </c>
      <c r="S103" s="127">
        <f t="shared" si="135"/>
        <v>400</v>
      </c>
      <c r="T103" s="127">
        <f t="shared" si="135"/>
        <v>400</v>
      </c>
      <c r="U103" s="127">
        <f t="shared" si="135"/>
        <v>400</v>
      </c>
      <c r="V103" s="126">
        <v>400.0</v>
      </c>
      <c r="W103" s="127">
        <f t="shared" ref="W103:AG103" si="136">V103</f>
        <v>400</v>
      </c>
      <c r="X103" s="127">
        <f t="shared" si="136"/>
        <v>400</v>
      </c>
      <c r="Y103" s="127">
        <f t="shared" si="136"/>
        <v>400</v>
      </c>
      <c r="Z103" s="127">
        <f t="shared" si="136"/>
        <v>400</v>
      </c>
      <c r="AA103" s="127">
        <f t="shared" si="136"/>
        <v>400</v>
      </c>
      <c r="AB103" s="127">
        <f t="shared" si="136"/>
        <v>400</v>
      </c>
      <c r="AC103" s="127">
        <f t="shared" si="136"/>
        <v>400</v>
      </c>
      <c r="AD103" s="127">
        <f t="shared" si="136"/>
        <v>400</v>
      </c>
      <c r="AE103" s="127">
        <f t="shared" si="136"/>
        <v>400</v>
      </c>
      <c r="AF103" s="127">
        <f t="shared" si="136"/>
        <v>400</v>
      </c>
      <c r="AG103" s="127">
        <f t="shared" si="136"/>
        <v>400</v>
      </c>
      <c r="AH103" s="4"/>
      <c r="AI103" s="4"/>
      <c r="AJ103" s="127">
        <f t="shared" ref="AJ103:AK103" si="137">AJ104/AJ102*1000</f>
        <v>400</v>
      </c>
      <c r="AK103" s="127">
        <f t="shared" si="137"/>
        <v>400</v>
      </c>
      <c r="AL103" s="126">
        <v>400.0</v>
      </c>
      <c r="AM103" s="126">
        <v>400.0</v>
      </c>
      <c r="AN103" s="126">
        <v>400.0</v>
      </c>
      <c r="AO103" s="1"/>
      <c r="AP103" s="1"/>
    </row>
    <row r="104" ht="12.75" customHeight="1">
      <c r="A104" s="1"/>
      <c r="B104" s="28" t="s">
        <v>79</v>
      </c>
      <c r="C104" s="28"/>
      <c r="D104" s="28"/>
      <c r="E104" s="120">
        <f t="shared" ref="E104:AG104" si="138">E102*E103/1000</f>
        <v>0</v>
      </c>
      <c r="F104" s="120">
        <f t="shared" si="138"/>
        <v>0</v>
      </c>
      <c r="G104" s="120">
        <f t="shared" si="138"/>
        <v>0</v>
      </c>
      <c r="H104" s="120">
        <f t="shared" si="138"/>
        <v>0</v>
      </c>
      <c r="I104" s="120">
        <f t="shared" si="138"/>
        <v>0</v>
      </c>
      <c r="J104" s="121">
        <f t="shared" si="138"/>
        <v>0</v>
      </c>
      <c r="K104" s="121">
        <f t="shared" si="138"/>
        <v>0</v>
      </c>
      <c r="L104" s="121">
        <f t="shared" si="138"/>
        <v>0</v>
      </c>
      <c r="M104" s="121">
        <f t="shared" si="138"/>
        <v>120</v>
      </c>
      <c r="N104" s="121">
        <f t="shared" si="138"/>
        <v>120</v>
      </c>
      <c r="O104" s="121">
        <f t="shared" si="138"/>
        <v>80</v>
      </c>
      <c r="P104" s="121">
        <f t="shared" si="138"/>
        <v>80</v>
      </c>
      <c r="Q104" s="121">
        <f t="shared" si="138"/>
        <v>80</v>
      </c>
      <c r="R104" s="121">
        <f t="shared" si="138"/>
        <v>200</v>
      </c>
      <c r="S104" s="121">
        <f t="shared" si="138"/>
        <v>200</v>
      </c>
      <c r="T104" s="121">
        <f t="shared" si="138"/>
        <v>200</v>
      </c>
      <c r="U104" s="121">
        <f t="shared" si="138"/>
        <v>200</v>
      </c>
      <c r="V104" s="121">
        <f t="shared" si="138"/>
        <v>200</v>
      </c>
      <c r="W104" s="121">
        <f t="shared" si="138"/>
        <v>200</v>
      </c>
      <c r="X104" s="121">
        <f t="shared" si="138"/>
        <v>200</v>
      </c>
      <c r="Y104" s="121">
        <f t="shared" si="138"/>
        <v>320</v>
      </c>
      <c r="Z104" s="121">
        <f t="shared" si="138"/>
        <v>320</v>
      </c>
      <c r="AA104" s="121">
        <f t="shared" si="138"/>
        <v>320</v>
      </c>
      <c r="AB104" s="121">
        <f t="shared" si="138"/>
        <v>360</v>
      </c>
      <c r="AC104" s="121">
        <f t="shared" si="138"/>
        <v>360</v>
      </c>
      <c r="AD104" s="121">
        <f t="shared" si="138"/>
        <v>360</v>
      </c>
      <c r="AE104" s="121">
        <f t="shared" si="138"/>
        <v>480</v>
      </c>
      <c r="AF104" s="121">
        <f t="shared" si="138"/>
        <v>480</v>
      </c>
      <c r="AG104" s="121">
        <f t="shared" si="138"/>
        <v>480</v>
      </c>
      <c r="AH104" s="123"/>
      <c r="AI104" s="123"/>
      <c r="AJ104" s="121">
        <f>SUM(J104:U104)</f>
        <v>1280</v>
      </c>
      <c r="AK104" s="121">
        <f>SUM(V104:AG104)</f>
        <v>4080</v>
      </c>
      <c r="AL104" s="121">
        <f t="shared" ref="AL104:AN104" si="139">AL102*AL103/1000</f>
        <v>10920</v>
      </c>
      <c r="AM104" s="121">
        <f t="shared" si="139"/>
        <v>23322</v>
      </c>
      <c r="AN104" s="121">
        <f t="shared" si="139"/>
        <v>49827.96</v>
      </c>
      <c r="AO104" s="1"/>
      <c r="AP104" s="1"/>
    </row>
    <row r="105" ht="12.75" customHeight="1">
      <c r="A105" s="1"/>
      <c r="B105" s="52" t="s">
        <v>80</v>
      </c>
      <c r="C105" s="12"/>
      <c r="D105" s="12"/>
      <c r="E105" s="128">
        <f t="shared" ref="E105:AG105" si="140">IFERROR(E104/E$114,0)</f>
        <v>0</v>
      </c>
      <c r="F105" s="128">
        <f t="shared" si="140"/>
        <v>0</v>
      </c>
      <c r="G105" s="128">
        <f t="shared" si="140"/>
        <v>0</v>
      </c>
      <c r="H105" s="128">
        <f t="shared" si="140"/>
        <v>0</v>
      </c>
      <c r="I105" s="128">
        <f t="shared" si="140"/>
        <v>0</v>
      </c>
      <c r="J105" s="129">
        <f t="shared" si="140"/>
        <v>0</v>
      </c>
      <c r="K105" s="129">
        <f t="shared" si="140"/>
        <v>0</v>
      </c>
      <c r="L105" s="129">
        <f t="shared" si="140"/>
        <v>0</v>
      </c>
      <c r="M105" s="129">
        <f t="shared" si="140"/>
        <v>0.981595092</v>
      </c>
      <c r="N105" s="129">
        <f t="shared" si="140"/>
        <v>0.9484291642</v>
      </c>
      <c r="O105" s="129">
        <f t="shared" si="140"/>
        <v>0.8926329884</v>
      </c>
      <c r="P105" s="129">
        <f t="shared" si="140"/>
        <v>0.8727883679</v>
      </c>
      <c r="Q105" s="129">
        <f t="shared" si="140"/>
        <v>0.8556678233</v>
      </c>
      <c r="R105" s="129">
        <f t="shared" si="140"/>
        <v>0.9199851961</v>
      </c>
      <c r="S105" s="129">
        <f t="shared" si="140"/>
        <v>0.8962367466</v>
      </c>
      <c r="T105" s="129">
        <f t="shared" si="140"/>
        <v>0.8758876409</v>
      </c>
      <c r="U105" s="129">
        <f t="shared" si="140"/>
        <v>0.8583476915</v>
      </c>
      <c r="V105" s="129">
        <f t="shared" si="140"/>
        <v>0.8431517301</v>
      </c>
      <c r="W105" s="129">
        <f t="shared" si="140"/>
        <v>0.8299281832</v>
      </c>
      <c r="X105" s="129">
        <f t="shared" si="140"/>
        <v>0.8183766937</v>
      </c>
      <c r="Y105" s="129">
        <f t="shared" si="140"/>
        <v>0.8655722652</v>
      </c>
      <c r="Z105" s="129">
        <f t="shared" si="140"/>
        <v>0.8494195448</v>
      </c>
      <c r="AA105" s="129">
        <f t="shared" si="140"/>
        <v>0.8353890295</v>
      </c>
      <c r="AB105" s="129">
        <f t="shared" si="140"/>
        <v>0.8381847943</v>
      </c>
      <c r="AC105" s="129">
        <f t="shared" si="140"/>
        <v>0.8255941457</v>
      </c>
      <c r="AD105" s="129">
        <f t="shared" si="140"/>
        <v>0.8145816574</v>
      </c>
      <c r="AE105" s="129">
        <f t="shared" si="140"/>
        <v>0.8428443357</v>
      </c>
      <c r="AF105" s="129">
        <f t="shared" si="140"/>
        <v>0.8296601268</v>
      </c>
      <c r="AG105" s="129">
        <f t="shared" si="140"/>
        <v>0.8181421035</v>
      </c>
      <c r="AH105" s="123"/>
      <c r="AI105" s="123"/>
      <c r="AJ105" s="129">
        <f t="shared" ref="AJ105:AN105" si="141">IFERROR(AJ104/AJ$114,0)</f>
        <v>0.8979634955</v>
      </c>
      <c r="AK105" s="129">
        <f t="shared" si="141"/>
        <v>0.8336234679</v>
      </c>
      <c r="AL105" s="129">
        <f t="shared" si="141"/>
        <v>0.8511815332</v>
      </c>
      <c r="AM105" s="129">
        <f t="shared" si="141"/>
        <v>0.8432933129</v>
      </c>
      <c r="AN105" s="129">
        <f t="shared" si="141"/>
        <v>0.8502485347</v>
      </c>
      <c r="AO105" s="1"/>
      <c r="AP105" s="1"/>
    </row>
    <row r="106" ht="12.75" customHeight="1">
      <c r="A106" s="1"/>
      <c r="B106" s="12"/>
      <c r="C106" s="12"/>
      <c r="D106" s="12"/>
      <c r="E106" s="130"/>
      <c r="F106" s="130"/>
      <c r="G106" s="130"/>
      <c r="H106" s="130"/>
      <c r="I106" s="130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3"/>
      <c r="AI106" s="123"/>
      <c r="AJ106" s="124"/>
      <c r="AK106" s="124"/>
      <c r="AL106" s="124"/>
      <c r="AM106" s="124"/>
      <c r="AN106" s="124"/>
      <c r="AO106" s="1"/>
      <c r="AP106" s="1"/>
    </row>
    <row r="107" ht="12.75" customHeight="1">
      <c r="A107" s="1"/>
      <c r="B107" s="1" t="s">
        <v>31</v>
      </c>
      <c r="C107" s="1"/>
      <c r="D107" s="1"/>
      <c r="E107" s="59">
        <f t="shared" ref="E107:AG107" si="142">AVERAGE(E37,E40)</f>
        <v>0</v>
      </c>
      <c r="F107" s="59">
        <f t="shared" si="142"/>
        <v>0</v>
      </c>
      <c r="G107" s="59">
        <f t="shared" si="142"/>
        <v>0</v>
      </c>
      <c r="H107" s="59">
        <f t="shared" si="142"/>
        <v>0</v>
      </c>
      <c r="I107" s="59">
        <f t="shared" si="142"/>
        <v>0</v>
      </c>
      <c r="J107" s="16">
        <f t="shared" si="142"/>
        <v>0</v>
      </c>
      <c r="K107" s="16">
        <f t="shared" si="142"/>
        <v>0</v>
      </c>
      <c r="L107" s="16">
        <f t="shared" si="142"/>
        <v>0</v>
      </c>
      <c r="M107" s="16">
        <f t="shared" si="142"/>
        <v>150</v>
      </c>
      <c r="N107" s="16">
        <f t="shared" si="142"/>
        <v>435</v>
      </c>
      <c r="O107" s="16">
        <f t="shared" si="142"/>
        <v>641.5</v>
      </c>
      <c r="P107" s="16">
        <f t="shared" si="142"/>
        <v>777.35</v>
      </c>
      <c r="Q107" s="16">
        <f t="shared" si="142"/>
        <v>899.615</v>
      </c>
      <c r="R107" s="16">
        <f t="shared" si="142"/>
        <v>1159.6535</v>
      </c>
      <c r="S107" s="16">
        <f t="shared" si="142"/>
        <v>1543.68815</v>
      </c>
      <c r="T107" s="16">
        <f t="shared" si="142"/>
        <v>1889.319335</v>
      </c>
      <c r="U107" s="16">
        <f t="shared" si="142"/>
        <v>2200.387402</v>
      </c>
      <c r="V107" s="16">
        <f t="shared" si="142"/>
        <v>2480.348661</v>
      </c>
      <c r="W107" s="16">
        <f t="shared" si="142"/>
        <v>2732.313795</v>
      </c>
      <c r="X107" s="16">
        <f t="shared" si="142"/>
        <v>2959.082416</v>
      </c>
      <c r="Y107" s="16">
        <f t="shared" si="142"/>
        <v>3313.174174</v>
      </c>
      <c r="Z107" s="16">
        <f t="shared" si="142"/>
        <v>3781.856757</v>
      </c>
      <c r="AA107" s="16">
        <f t="shared" si="142"/>
        <v>4203.671081</v>
      </c>
      <c r="AB107" s="16">
        <f t="shared" si="142"/>
        <v>4633.303973</v>
      </c>
      <c r="AC107" s="16">
        <f t="shared" si="142"/>
        <v>5069.973576</v>
      </c>
      <c r="AD107" s="16">
        <f t="shared" si="142"/>
        <v>5462.976218</v>
      </c>
      <c r="AE107" s="16">
        <f t="shared" si="142"/>
        <v>5966.678596</v>
      </c>
      <c r="AF107" s="16">
        <f t="shared" si="142"/>
        <v>6570.010737</v>
      </c>
      <c r="AG107" s="16">
        <f t="shared" si="142"/>
        <v>7113.009663</v>
      </c>
      <c r="AH107" s="4"/>
      <c r="AI107" s="4"/>
      <c r="AJ107" s="16">
        <f>AVERAGE(J107:U107)</f>
        <v>808.0427822</v>
      </c>
      <c r="AK107" s="16">
        <f>AVERAGE(V107:AG107)</f>
        <v>4523.866637</v>
      </c>
      <c r="AL107" s="16">
        <f>'Churn Year 3-5'!T13</f>
        <v>10606.80943</v>
      </c>
      <c r="AM107" s="16">
        <f>'Churn Year 3-5'!T22</f>
        <v>24076.98814</v>
      </c>
      <c r="AN107" s="16">
        <f>'Churn Year 3-5'!T31</f>
        <v>48755.74429</v>
      </c>
      <c r="AO107" s="1"/>
      <c r="AP107" s="1"/>
    </row>
    <row r="108" ht="12.75" customHeight="1">
      <c r="A108" s="1"/>
      <c r="B108" s="1" t="s">
        <v>81</v>
      </c>
      <c r="C108" s="1"/>
      <c r="D108" s="1"/>
      <c r="E108" s="59">
        <v>0.0</v>
      </c>
      <c r="F108" s="59">
        <v>0.0</v>
      </c>
      <c r="G108" s="59">
        <v>0.0</v>
      </c>
      <c r="H108" s="59">
        <v>0.0</v>
      </c>
      <c r="I108" s="59">
        <v>0.0</v>
      </c>
      <c r="J108" s="131">
        <v>15.0</v>
      </c>
      <c r="K108" s="103">
        <f t="shared" ref="K108:U108" si="143">J108</f>
        <v>15</v>
      </c>
      <c r="L108" s="103">
        <f t="shared" si="143"/>
        <v>15</v>
      </c>
      <c r="M108" s="103">
        <f t="shared" si="143"/>
        <v>15</v>
      </c>
      <c r="N108" s="103">
        <f t="shared" si="143"/>
        <v>15</v>
      </c>
      <c r="O108" s="103">
        <f t="shared" si="143"/>
        <v>15</v>
      </c>
      <c r="P108" s="103">
        <f t="shared" si="143"/>
        <v>15</v>
      </c>
      <c r="Q108" s="103">
        <f t="shared" si="143"/>
        <v>15</v>
      </c>
      <c r="R108" s="103">
        <f t="shared" si="143"/>
        <v>15</v>
      </c>
      <c r="S108" s="103">
        <f t="shared" si="143"/>
        <v>15</v>
      </c>
      <c r="T108" s="103">
        <f t="shared" si="143"/>
        <v>15</v>
      </c>
      <c r="U108" s="103">
        <f t="shared" si="143"/>
        <v>15</v>
      </c>
      <c r="V108" s="126">
        <v>15.0</v>
      </c>
      <c r="W108" s="103">
        <f t="shared" ref="W108:AG108" si="144">V108</f>
        <v>15</v>
      </c>
      <c r="X108" s="103">
        <f t="shared" si="144"/>
        <v>15</v>
      </c>
      <c r="Y108" s="103">
        <f t="shared" si="144"/>
        <v>15</v>
      </c>
      <c r="Z108" s="103">
        <f t="shared" si="144"/>
        <v>15</v>
      </c>
      <c r="AA108" s="103">
        <f t="shared" si="144"/>
        <v>15</v>
      </c>
      <c r="AB108" s="103">
        <f t="shared" si="144"/>
        <v>15</v>
      </c>
      <c r="AC108" s="103">
        <f t="shared" si="144"/>
        <v>15</v>
      </c>
      <c r="AD108" s="103">
        <f t="shared" si="144"/>
        <v>15</v>
      </c>
      <c r="AE108" s="103">
        <f t="shared" si="144"/>
        <v>15</v>
      </c>
      <c r="AF108" s="103">
        <f t="shared" si="144"/>
        <v>15</v>
      </c>
      <c r="AG108" s="103">
        <f t="shared" si="144"/>
        <v>15</v>
      </c>
      <c r="AH108" s="4"/>
      <c r="AI108" s="4"/>
      <c r="AJ108" s="103">
        <f t="shared" ref="AJ108:AK108" si="145">AJ109*1000/AJ107</f>
        <v>180</v>
      </c>
      <c r="AK108" s="103">
        <f t="shared" si="145"/>
        <v>180</v>
      </c>
      <c r="AL108" s="126">
        <v>180.0</v>
      </c>
      <c r="AM108" s="126">
        <v>180.0</v>
      </c>
      <c r="AN108" s="126">
        <v>180.0</v>
      </c>
      <c r="AO108" s="1"/>
      <c r="AP108" s="1"/>
    </row>
    <row r="109" ht="12.75" customHeight="1">
      <c r="A109" s="1"/>
      <c r="B109" s="28" t="s">
        <v>82</v>
      </c>
      <c r="C109" s="28"/>
      <c r="D109" s="28"/>
      <c r="E109" s="132">
        <f t="shared" ref="E109:AG109" si="146">E107*E108/1000</f>
        <v>0</v>
      </c>
      <c r="F109" s="132">
        <f t="shared" si="146"/>
        <v>0</v>
      </c>
      <c r="G109" s="132">
        <f t="shared" si="146"/>
        <v>0</v>
      </c>
      <c r="H109" s="132">
        <f t="shared" si="146"/>
        <v>0</v>
      </c>
      <c r="I109" s="132">
        <f t="shared" si="146"/>
        <v>0</v>
      </c>
      <c r="J109" s="111">
        <f t="shared" si="146"/>
        <v>0</v>
      </c>
      <c r="K109" s="111">
        <f t="shared" si="146"/>
        <v>0</v>
      </c>
      <c r="L109" s="111">
        <f t="shared" si="146"/>
        <v>0</v>
      </c>
      <c r="M109" s="111">
        <f t="shared" si="146"/>
        <v>2.25</v>
      </c>
      <c r="N109" s="111">
        <f t="shared" si="146"/>
        <v>6.525</v>
      </c>
      <c r="O109" s="111">
        <f t="shared" si="146"/>
        <v>9.6225</v>
      </c>
      <c r="P109" s="111">
        <f t="shared" si="146"/>
        <v>11.66025</v>
      </c>
      <c r="Q109" s="111">
        <f t="shared" si="146"/>
        <v>13.494225</v>
      </c>
      <c r="R109" s="111">
        <f t="shared" si="146"/>
        <v>17.3948025</v>
      </c>
      <c r="S109" s="111">
        <f t="shared" si="146"/>
        <v>23.15532225</v>
      </c>
      <c r="T109" s="111">
        <f t="shared" si="146"/>
        <v>28.33979003</v>
      </c>
      <c r="U109" s="111">
        <f t="shared" si="146"/>
        <v>33.00581102</v>
      </c>
      <c r="V109" s="111">
        <f t="shared" si="146"/>
        <v>37.20522992</v>
      </c>
      <c r="W109" s="111">
        <f t="shared" si="146"/>
        <v>40.98470693</v>
      </c>
      <c r="X109" s="111">
        <f t="shared" si="146"/>
        <v>44.38623624</v>
      </c>
      <c r="Y109" s="111">
        <f t="shared" si="146"/>
        <v>49.69761261</v>
      </c>
      <c r="Z109" s="111">
        <f t="shared" si="146"/>
        <v>56.72785135</v>
      </c>
      <c r="AA109" s="111">
        <f t="shared" si="146"/>
        <v>63.05506622</v>
      </c>
      <c r="AB109" s="111">
        <f t="shared" si="146"/>
        <v>69.49955959</v>
      </c>
      <c r="AC109" s="111">
        <f t="shared" si="146"/>
        <v>76.04960363</v>
      </c>
      <c r="AD109" s="111">
        <f t="shared" si="146"/>
        <v>81.94464327</v>
      </c>
      <c r="AE109" s="111">
        <f t="shared" si="146"/>
        <v>89.50017894</v>
      </c>
      <c r="AF109" s="111">
        <f t="shared" si="146"/>
        <v>98.55016105</v>
      </c>
      <c r="AG109" s="111">
        <f t="shared" si="146"/>
        <v>106.6951449</v>
      </c>
      <c r="AH109" s="123"/>
      <c r="AI109" s="123"/>
      <c r="AJ109" s="111">
        <f>SUM(J109:U109)</f>
        <v>145.4477008</v>
      </c>
      <c r="AK109" s="111">
        <f>SUM(V109:AG109)</f>
        <v>814.2959947</v>
      </c>
      <c r="AL109" s="111">
        <f t="shared" ref="AL109:AN109" si="147">AL107*AL108/1000</f>
        <v>1909.225698</v>
      </c>
      <c r="AM109" s="111">
        <f t="shared" si="147"/>
        <v>4333.857866</v>
      </c>
      <c r="AN109" s="111">
        <f t="shared" si="147"/>
        <v>8776.033972</v>
      </c>
      <c r="AO109" s="1"/>
      <c r="AP109" s="1"/>
    </row>
    <row r="110" ht="12.75" customHeight="1">
      <c r="A110" s="1"/>
      <c r="B110" s="52" t="s">
        <v>80</v>
      </c>
      <c r="C110" s="12"/>
      <c r="D110" s="12"/>
      <c r="E110" s="128">
        <f t="shared" ref="E110:AG110" si="148">IFERROR(E109/E$114,0)</f>
        <v>0</v>
      </c>
      <c r="F110" s="128">
        <f t="shared" si="148"/>
        <v>0</v>
      </c>
      <c r="G110" s="128">
        <f t="shared" si="148"/>
        <v>0</v>
      </c>
      <c r="H110" s="128">
        <f t="shared" si="148"/>
        <v>0</v>
      </c>
      <c r="I110" s="128">
        <f t="shared" si="148"/>
        <v>0</v>
      </c>
      <c r="J110" s="129">
        <f t="shared" si="148"/>
        <v>0</v>
      </c>
      <c r="K110" s="129">
        <f t="shared" si="148"/>
        <v>0</v>
      </c>
      <c r="L110" s="129">
        <f t="shared" si="148"/>
        <v>0</v>
      </c>
      <c r="M110" s="129">
        <f t="shared" si="148"/>
        <v>0.01840490798</v>
      </c>
      <c r="N110" s="129">
        <f t="shared" si="148"/>
        <v>0.0515708358</v>
      </c>
      <c r="O110" s="129">
        <f t="shared" si="148"/>
        <v>0.1073670116</v>
      </c>
      <c r="P110" s="129">
        <f t="shared" si="148"/>
        <v>0.1272116321</v>
      </c>
      <c r="Q110" s="129">
        <f t="shared" si="148"/>
        <v>0.1443321767</v>
      </c>
      <c r="R110" s="129">
        <f t="shared" si="148"/>
        <v>0.08001480394</v>
      </c>
      <c r="S110" s="129">
        <f t="shared" si="148"/>
        <v>0.1037632534</v>
      </c>
      <c r="T110" s="129">
        <f t="shared" si="148"/>
        <v>0.1241123591</v>
      </c>
      <c r="U110" s="129">
        <f t="shared" si="148"/>
        <v>0.1416523085</v>
      </c>
      <c r="V110" s="129">
        <f t="shared" si="148"/>
        <v>0.1568482699</v>
      </c>
      <c r="W110" s="129">
        <f t="shared" si="148"/>
        <v>0.1700718168</v>
      </c>
      <c r="X110" s="129">
        <f t="shared" si="148"/>
        <v>0.1816233063</v>
      </c>
      <c r="Y110" s="129">
        <f t="shared" si="148"/>
        <v>0.1344277348</v>
      </c>
      <c r="Z110" s="129">
        <f t="shared" si="148"/>
        <v>0.1505804552</v>
      </c>
      <c r="AA110" s="129">
        <f t="shared" si="148"/>
        <v>0.1646109705</v>
      </c>
      <c r="AB110" s="129">
        <f t="shared" si="148"/>
        <v>0.1618152057</v>
      </c>
      <c r="AC110" s="129">
        <f t="shared" si="148"/>
        <v>0.1744058543</v>
      </c>
      <c r="AD110" s="129">
        <f t="shared" si="148"/>
        <v>0.1854183426</v>
      </c>
      <c r="AE110" s="129">
        <f t="shared" si="148"/>
        <v>0.1571556643</v>
      </c>
      <c r="AF110" s="129">
        <f t="shared" si="148"/>
        <v>0.1703398732</v>
      </c>
      <c r="AG110" s="129">
        <f t="shared" si="148"/>
        <v>0.1818578965</v>
      </c>
      <c r="AH110" s="123"/>
      <c r="AI110" s="123"/>
      <c r="AJ110" s="129">
        <f t="shared" ref="AJ110:AN110" si="149">IFERROR(AJ109/AJ$114,0)</f>
        <v>0.1020365045</v>
      </c>
      <c r="AK110" s="129">
        <f t="shared" si="149"/>
        <v>0.1663765321</v>
      </c>
      <c r="AL110" s="129">
        <f t="shared" si="149"/>
        <v>0.1488184668</v>
      </c>
      <c r="AM110" s="129">
        <f t="shared" si="149"/>
        <v>0.1567066871</v>
      </c>
      <c r="AN110" s="129">
        <f t="shared" si="149"/>
        <v>0.1497514653</v>
      </c>
      <c r="AO110" s="1"/>
      <c r="AP110" s="1"/>
    </row>
    <row r="111" ht="12.75" customHeight="1">
      <c r="A111" s="1"/>
      <c r="B111" s="1"/>
      <c r="C111" s="1"/>
      <c r="D111" s="1"/>
      <c r="E111" s="24"/>
      <c r="F111" s="24"/>
      <c r="G111" s="24"/>
      <c r="H111" s="24"/>
      <c r="I111" s="2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4"/>
      <c r="AI111" s="4"/>
      <c r="AJ111" s="1"/>
      <c r="AK111" s="1"/>
      <c r="AL111" s="1"/>
      <c r="AM111" s="1"/>
      <c r="AN111" s="1"/>
      <c r="AO111" s="1"/>
      <c r="AP111" s="1"/>
    </row>
    <row r="112" ht="12.75" customHeight="1">
      <c r="A112" s="1"/>
      <c r="B112" s="2" t="s">
        <v>83</v>
      </c>
      <c r="C112" s="95"/>
      <c r="D112" s="95"/>
      <c r="E112" s="96"/>
      <c r="F112" s="96"/>
      <c r="G112" s="96"/>
      <c r="H112" s="96"/>
      <c r="I112" s="96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23"/>
      <c r="AI112" s="23"/>
      <c r="AJ112" s="95"/>
      <c r="AK112" s="95"/>
      <c r="AL112" s="95"/>
      <c r="AM112" s="95"/>
      <c r="AN112" s="95"/>
      <c r="AO112" s="1"/>
      <c r="AP112" s="1"/>
    </row>
    <row r="113" ht="12.75" customHeight="1">
      <c r="A113" s="1"/>
      <c r="B113" s="1"/>
      <c r="C113" s="1"/>
      <c r="D113" s="1"/>
      <c r="E113" s="24"/>
      <c r="F113" s="24"/>
      <c r="G113" s="24"/>
      <c r="H113" s="24"/>
      <c r="I113" s="2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4"/>
      <c r="AI113" s="4"/>
      <c r="AJ113" s="1"/>
      <c r="AK113" s="1"/>
      <c r="AL113" s="1"/>
      <c r="AM113" s="1"/>
      <c r="AN113" s="1"/>
      <c r="AO113" s="1"/>
      <c r="AP113" s="1"/>
    </row>
    <row r="114" ht="12.75" customHeight="1">
      <c r="A114" s="1"/>
      <c r="B114" s="133" t="s">
        <v>84</v>
      </c>
      <c r="C114" s="133"/>
      <c r="D114" s="133"/>
      <c r="E114" s="134">
        <f t="shared" ref="E114:AG114" si="150">E104+E109</f>
        <v>0</v>
      </c>
      <c r="F114" s="134">
        <f t="shared" si="150"/>
        <v>0</v>
      </c>
      <c r="G114" s="134">
        <f t="shared" si="150"/>
        <v>0</v>
      </c>
      <c r="H114" s="134">
        <f t="shared" si="150"/>
        <v>0</v>
      </c>
      <c r="I114" s="134">
        <f t="shared" si="150"/>
        <v>0</v>
      </c>
      <c r="J114" s="135">
        <f t="shared" si="150"/>
        <v>0</v>
      </c>
      <c r="K114" s="135">
        <f t="shared" si="150"/>
        <v>0</v>
      </c>
      <c r="L114" s="135">
        <f t="shared" si="150"/>
        <v>0</v>
      </c>
      <c r="M114" s="135">
        <f t="shared" si="150"/>
        <v>122.25</v>
      </c>
      <c r="N114" s="135">
        <f t="shared" si="150"/>
        <v>126.525</v>
      </c>
      <c r="O114" s="135">
        <f t="shared" si="150"/>
        <v>89.6225</v>
      </c>
      <c r="P114" s="135">
        <f t="shared" si="150"/>
        <v>91.66025</v>
      </c>
      <c r="Q114" s="135">
        <f t="shared" si="150"/>
        <v>93.494225</v>
      </c>
      <c r="R114" s="135">
        <f t="shared" si="150"/>
        <v>217.3948025</v>
      </c>
      <c r="S114" s="135">
        <f t="shared" si="150"/>
        <v>223.1553223</v>
      </c>
      <c r="T114" s="135">
        <f t="shared" si="150"/>
        <v>228.33979</v>
      </c>
      <c r="U114" s="135">
        <f t="shared" si="150"/>
        <v>233.005811</v>
      </c>
      <c r="V114" s="135">
        <f t="shared" si="150"/>
        <v>237.2052299</v>
      </c>
      <c r="W114" s="135">
        <f t="shared" si="150"/>
        <v>240.9847069</v>
      </c>
      <c r="X114" s="135">
        <f t="shared" si="150"/>
        <v>244.3862362</v>
      </c>
      <c r="Y114" s="135">
        <f t="shared" si="150"/>
        <v>369.6976126</v>
      </c>
      <c r="Z114" s="135">
        <f t="shared" si="150"/>
        <v>376.7278514</v>
      </c>
      <c r="AA114" s="135">
        <f t="shared" si="150"/>
        <v>383.0550662</v>
      </c>
      <c r="AB114" s="135">
        <f t="shared" si="150"/>
        <v>429.4995596</v>
      </c>
      <c r="AC114" s="135">
        <f t="shared" si="150"/>
        <v>436.0496036</v>
      </c>
      <c r="AD114" s="135">
        <f t="shared" si="150"/>
        <v>441.9446433</v>
      </c>
      <c r="AE114" s="135">
        <f t="shared" si="150"/>
        <v>569.5001789</v>
      </c>
      <c r="AF114" s="135">
        <f t="shared" si="150"/>
        <v>578.550161</v>
      </c>
      <c r="AG114" s="135">
        <f t="shared" si="150"/>
        <v>586.6951449</v>
      </c>
      <c r="AH114" s="4"/>
      <c r="AI114" s="4"/>
      <c r="AJ114" s="135">
        <f>SUM(J114:U114)</f>
        <v>1425.447701</v>
      </c>
      <c r="AK114" s="135">
        <f>SUM(V114:AG114)</f>
        <v>4894.295995</v>
      </c>
      <c r="AL114" s="135">
        <f t="shared" ref="AL114:AN114" si="151">AL104+AL109</f>
        <v>12829.2257</v>
      </c>
      <c r="AM114" s="135">
        <f t="shared" si="151"/>
        <v>27655.85787</v>
      </c>
      <c r="AN114" s="135">
        <f t="shared" si="151"/>
        <v>58603.99397</v>
      </c>
      <c r="AO114" s="1"/>
      <c r="AP114" s="1"/>
    </row>
    <row r="115" ht="12.75" customHeight="1">
      <c r="A115" s="1"/>
      <c r="B115" s="52" t="s">
        <v>85</v>
      </c>
      <c r="C115" s="1"/>
      <c r="D115" s="1"/>
      <c r="E115" s="24"/>
      <c r="F115" s="128">
        <f t="shared" ref="F115:AG115" si="152">IFERROR(F114/E114-1,0)</f>
        <v>0</v>
      </c>
      <c r="G115" s="128">
        <f t="shared" si="152"/>
        <v>0</v>
      </c>
      <c r="H115" s="128">
        <f t="shared" si="152"/>
        <v>0</v>
      </c>
      <c r="I115" s="128">
        <f t="shared" si="152"/>
        <v>0</v>
      </c>
      <c r="J115" s="129">
        <f t="shared" si="152"/>
        <v>0</v>
      </c>
      <c r="K115" s="129">
        <f t="shared" si="152"/>
        <v>0</v>
      </c>
      <c r="L115" s="129">
        <f t="shared" si="152"/>
        <v>0</v>
      </c>
      <c r="M115" s="129">
        <f t="shared" si="152"/>
        <v>0</v>
      </c>
      <c r="N115" s="129">
        <f t="shared" si="152"/>
        <v>0.03496932515</v>
      </c>
      <c r="O115" s="129">
        <f t="shared" si="152"/>
        <v>-0.2916617269</v>
      </c>
      <c r="P115" s="129">
        <f t="shared" si="152"/>
        <v>0.0227370359</v>
      </c>
      <c r="Q115" s="129">
        <f t="shared" si="152"/>
        <v>0.02000840059</v>
      </c>
      <c r="R115" s="129">
        <f t="shared" si="152"/>
        <v>1.325221718</v>
      </c>
      <c r="S115" s="129">
        <f t="shared" si="152"/>
        <v>0.02649796446</v>
      </c>
      <c r="T115" s="129">
        <f t="shared" si="152"/>
        <v>0.02323255266</v>
      </c>
      <c r="U115" s="129">
        <f t="shared" si="152"/>
        <v>0.02043455062</v>
      </c>
      <c r="V115" s="129">
        <f t="shared" si="152"/>
        <v>0.01802280758</v>
      </c>
      <c r="W115" s="129">
        <f t="shared" si="152"/>
        <v>0.01593336289</v>
      </c>
      <c r="X115" s="129">
        <f t="shared" si="152"/>
        <v>0.01411512519</v>
      </c>
      <c r="Y115" s="129">
        <f t="shared" si="152"/>
        <v>0.5127595494</v>
      </c>
      <c r="Z115" s="129">
        <f t="shared" si="152"/>
        <v>0.01901618647</v>
      </c>
      <c r="AA115" s="129">
        <f t="shared" si="152"/>
        <v>0.01679518741</v>
      </c>
      <c r="AB115" s="129">
        <f t="shared" si="152"/>
        <v>0.1212475633</v>
      </c>
      <c r="AC115" s="129">
        <f t="shared" si="152"/>
        <v>0.01525040921</v>
      </c>
      <c r="AD115" s="129">
        <f t="shared" si="152"/>
        <v>0.01351919504</v>
      </c>
      <c r="AE115" s="129">
        <f t="shared" si="152"/>
        <v>0.2886233324</v>
      </c>
      <c r="AF115" s="129">
        <f t="shared" si="152"/>
        <v>0.01589109616</v>
      </c>
      <c r="AG115" s="129">
        <f t="shared" si="152"/>
        <v>0.01407826744</v>
      </c>
      <c r="AH115" s="4"/>
      <c r="AI115" s="4"/>
      <c r="AJ115" s="1"/>
      <c r="AK115" s="129">
        <f t="shared" ref="AK115:AN115" si="153">AK114/AJ114-1</f>
        <v>2.433514953</v>
      </c>
      <c r="AL115" s="129">
        <f t="shared" si="153"/>
        <v>1.62126069</v>
      </c>
      <c r="AM115" s="129">
        <f t="shared" si="153"/>
        <v>1.155691896</v>
      </c>
      <c r="AN115" s="129">
        <f t="shared" si="153"/>
        <v>1.119044517</v>
      </c>
      <c r="AO115" s="1"/>
      <c r="AP115" s="1"/>
    </row>
    <row r="116" ht="12.75" customHeight="1">
      <c r="A116" s="1"/>
      <c r="B116" s="52"/>
      <c r="C116" s="1"/>
      <c r="D116" s="1"/>
      <c r="E116" s="24"/>
      <c r="F116" s="128"/>
      <c r="G116" s="128"/>
      <c r="H116" s="128"/>
      <c r="I116" s="128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4"/>
      <c r="AI116" s="4"/>
      <c r="AJ116" s="1"/>
      <c r="AK116" s="129"/>
      <c r="AL116" s="129"/>
      <c r="AM116" s="129"/>
      <c r="AN116" s="129"/>
      <c r="AO116" s="1"/>
      <c r="AP116" s="1"/>
    </row>
    <row r="117" ht="12.75" customHeight="1">
      <c r="A117" s="1"/>
      <c r="B117" s="1" t="s">
        <v>86</v>
      </c>
      <c r="C117" s="1"/>
      <c r="D117" s="1"/>
      <c r="E117" s="24"/>
      <c r="F117" s="128"/>
      <c r="G117" s="128"/>
      <c r="H117" s="128"/>
      <c r="I117" s="128"/>
      <c r="J117" s="27">
        <f t="shared" ref="J117:AG117" si="154">+J118*J104</f>
        <v>0</v>
      </c>
      <c r="K117" s="27">
        <f t="shared" si="154"/>
        <v>0</v>
      </c>
      <c r="L117" s="27">
        <f t="shared" si="154"/>
        <v>0</v>
      </c>
      <c r="M117" s="136">
        <f t="shared" si="154"/>
        <v>12</v>
      </c>
      <c r="N117" s="136">
        <f t="shared" si="154"/>
        <v>12</v>
      </c>
      <c r="O117" s="136">
        <f t="shared" si="154"/>
        <v>8</v>
      </c>
      <c r="P117" s="136">
        <f t="shared" si="154"/>
        <v>8</v>
      </c>
      <c r="Q117" s="136">
        <f t="shared" si="154"/>
        <v>8</v>
      </c>
      <c r="R117" s="136">
        <f t="shared" si="154"/>
        <v>20</v>
      </c>
      <c r="S117" s="136">
        <f t="shared" si="154"/>
        <v>20</v>
      </c>
      <c r="T117" s="136">
        <f t="shared" si="154"/>
        <v>20</v>
      </c>
      <c r="U117" s="136">
        <f t="shared" si="154"/>
        <v>20</v>
      </c>
      <c r="V117" s="136">
        <f t="shared" si="154"/>
        <v>20</v>
      </c>
      <c r="W117" s="136">
        <f t="shared" si="154"/>
        <v>20</v>
      </c>
      <c r="X117" s="136">
        <f t="shared" si="154"/>
        <v>20</v>
      </c>
      <c r="Y117" s="136">
        <f t="shared" si="154"/>
        <v>32</v>
      </c>
      <c r="Z117" s="136">
        <f t="shared" si="154"/>
        <v>32</v>
      </c>
      <c r="AA117" s="136">
        <f t="shared" si="154"/>
        <v>32</v>
      </c>
      <c r="AB117" s="136">
        <f t="shared" si="154"/>
        <v>36</v>
      </c>
      <c r="AC117" s="136">
        <f t="shared" si="154"/>
        <v>36</v>
      </c>
      <c r="AD117" s="136">
        <f t="shared" si="154"/>
        <v>36</v>
      </c>
      <c r="AE117" s="136">
        <f t="shared" si="154"/>
        <v>48</v>
      </c>
      <c r="AF117" s="136">
        <f t="shared" si="154"/>
        <v>48</v>
      </c>
      <c r="AG117" s="136">
        <f t="shared" si="154"/>
        <v>48</v>
      </c>
      <c r="AH117" s="4"/>
      <c r="AI117" s="4"/>
      <c r="AJ117" s="136">
        <f>SUM(J117:U117)</f>
        <v>128</v>
      </c>
      <c r="AK117" s="136">
        <f t="shared" ref="AK117:AN117" si="155">+AK118*AK104</f>
        <v>408</v>
      </c>
      <c r="AL117" s="136">
        <f t="shared" si="155"/>
        <v>1092</v>
      </c>
      <c r="AM117" s="136">
        <f t="shared" si="155"/>
        <v>2332.2</v>
      </c>
      <c r="AN117" s="136">
        <f t="shared" si="155"/>
        <v>4982.796</v>
      </c>
      <c r="AO117" s="1"/>
      <c r="AP117" s="1"/>
    </row>
    <row r="118" ht="12.75" customHeight="1">
      <c r="A118" s="1"/>
      <c r="B118" s="52" t="s">
        <v>87</v>
      </c>
      <c r="C118" s="1"/>
      <c r="D118" s="1"/>
      <c r="E118" s="24"/>
      <c r="F118" s="128"/>
      <c r="G118" s="128"/>
      <c r="H118" s="128"/>
      <c r="I118" s="128"/>
      <c r="J118" s="137">
        <v>0.1</v>
      </c>
      <c r="K118" s="129">
        <f t="shared" ref="K118:AG118" si="156">+J118</f>
        <v>0.1</v>
      </c>
      <c r="L118" s="129">
        <f t="shared" si="156"/>
        <v>0.1</v>
      </c>
      <c r="M118" s="129">
        <f t="shared" si="156"/>
        <v>0.1</v>
      </c>
      <c r="N118" s="129">
        <f t="shared" si="156"/>
        <v>0.1</v>
      </c>
      <c r="O118" s="129">
        <f t="shared" si="156"/>
        <v>0.1</v>
      </c>
      <c r="P118" s="129">
        <f t="shared" si="156"/>
        <v>0.1</v>
      </c>
      <c r="Q118" s="129">
        <f t="shared" si="156"/>
        <v>0.1</v>
      </c>
      <c r="R118" s="129">
        <f t="shared" si="156"/>
        <v>0.1</v>
      </c>
      <c r="S118" s="129">
        <f t="shared" si="156"/>
        <v>0.1</v>
      </c>
      <c r="T118" s="129">
        <f t="shared" si="156"/>
        <v>0.1</v>
      </c>
      <c r="U118" s="129">
        <f t="shared" si="156"/>
        <v>0.1</v>
      </c>
      <c r="V118" s="129">
        <f t="shared" si="156"/>
        <v>0.1</v>
      </c>
      <c r="W118" s="129">
        <f t="shared" si="156"/>
        <v>0.1</v>
      </c>
      <c r="X118" s="129">
        <f t="shared" si="156"/>
        <v>0.1</v>
      </c>
      <c r="Y118" s="129">
        <f t="shared" si="156"/>
        <v>0.1</v>
      </c>
      <c r="Z118" s="129">
        <f t="shared" si="156"/>
        <v>0.1</v>
      </c>
      <c r="AA118" s="129">
        <f t="shared" si="156"/>
        <v>0.1</v>
      </c>
      <c r="AB118" s="129">
        <f t="shared" si="156"/>
        <v>0.1</v>
      </c>
      <c r="AC118" s="129">
        <f t="shared" si="156"/>
        <v>0.1</v>
      </c>
      <c r="AD118" s="129">
        <f t="shared" si="156"/>
        <v>0.1</v>
      </c>
      <c r="AE118" s="129">
        <f t="shared" si="156"/>
        <v>0.1</v>
      </c>
      <c r="AF118" s="129">
        <f t="shared" si="156"/>
        <v>0.1</v>
      </c>
      <c r="AG118" s="129">
        <f t="shared" si="156"/>
        <v>0.1</v>
      </c>
      <c r="AH118" s="4"/>
      <c r="AI118" s="4"/>
      <c r="AJ118" s="129">
        <f>+AG118</f>
        <v>0.1</v>
      </c>
      <c r="AK118" s="129">
        <f t="shared" ref="AK118:AN118" si="157">+AJ118</f>
        <v>0.1</v>
      </c>
      <c r="AL118" s="129">
        <f t="shared" si="157"/>
        <v>0.1</v>
      </c>
      <c r="AM118" s="129">
        <f t="shared" si="157"/>
        <v>0.1</v>
      </c>
      <c r="AN118" s="129">
        <f t="shared" si="157"/>
        <v>0.1</v>
      </c>
      <c r="AO118" s="1"/>
      <c r="AP118" s="1"/>
    </row>
    <row r="119" ht="12.75" customHeight="1">
      <c r="A119" s="1"/>
      <c r="B119" s="52"/>
      <c r="C119" s="1"/>
      <c r="D119" s="1"/>
      <c r="E119" s="24"/>
      <c r="F119" s="128"/>
      <c r="G119" s="128"/>
      <c r="H119" s="128"/>
      <c r="I119" s="128"/>
      <c r="J119" s="128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4"/>
      <c r="AI119" s="4"/>
      <c r="AJ119" s="129"/>
      <c r="AK119" s="129"/>
      <c r="AL119" s="129"/>
      <c r="AM119" s="129"/>
      <c r="AN119" s="129"/>
      <c r="AO119" s="1"/>
      <c r="AP119" s="1"/>
    </row>
    <row r="120" ht="12.75" customHeight="1">
      <c r="A120" s="1"/>
      <c r="B120" s="1" t="s">
        <v>88</v>
      </c>
      <c r="C120" s="1"/>
      <c r="D120" s="1"/>
      <c r="E120" s="24"/>
      <c r="F120" s="128"/>
      <c r="G120" s="128"/>
      <c r="H120" s="128"/>
      <c r="I120" s="128"/>
      <c r="J120" s="136">
        <f t="shared" ref="J120:AG120" si="158">+(J114+J117)*J121</f>
        <v>0</v>
      </c>
      <c r="K120" s="136">
        <f t="shared" si="158"/>
        <v>0</v>
      </c>
      <c r="L120" s="136">
        <f t="shared" si="158"/>
        <v>0</v>
      </c>
      <c r="M120" s="136">
        <f t="shared" si="158"/>
        <v>2.685</v>
      </c>
      <c r="N120" s="136">
        <f t="shared" si="158"/>
        <v>2.7705</v>
      </c>
      <c r="O120" s="136">
        <f t="shared" si="158"/>
        <v>1.95245</v>
      </c>
      <c r="P120" s="136">
        <f t="shared" si="158"/>
        <v>1.993205</v>
      </c>
      <c r="Q120" s="136">
        <f t="shared" si="158"/>
        <v>2.0298845</v>
      </c>
      <c r="R120" s="136">
        <f t="shared" si="158"/>
        <v>4.74789605</v>
      </c>
      <c r="S120" s="136">
        <f t="shared" si="158"/>
        <v>4.863106445</v>
      </c>
      <c r="T120" s="136">
        <f t="shared" si="158"/>
        <v>4.966795801</v>
      </c>
      <c r="U120" s="136">
        <f t="shared" si="158"/>
        <v>5.06011622</v>
      </c>
      <c r="V120" s="136">
        <f t="shared" si="158"/>
        <v>5.144104598</v>
      </c>
      <c r="W120" s="136">
        <f t="shared" si="158"/>
        <v>5.219694139</v>
      </c>
      <c r="X120" s="136">
        <f t="shared" si="158"/>
        <v>5.287724725</v>
      </c>
      <c r="Y120" s="136">
        <f t="shared" si="158"/>
        <v>8.033952252</v>
      </c>
      <c r="Z120" s="136">
        <f t="shared" si="158"/>
        <v>8.174557027</v>
      </c>
      <c r="AA120" s="136">
        <f t="shared" si="158"/>
        <v>8.301101324</v>
      </c>
      <c r="AB120" s="136">
        <f t="shared" si="158"/>
        <v>9.309991192</v>
      </c>
      <c r="AC120" s="136">
        <f t="shared" si="158"/>
        <v>9.440992073</v>
      </c>
      <c r="AD120" s="136">
        <f t="shared" si="158"/>
        <v>9.558892865</v>
      </c>
      <c r="AE120" s="136">
        <f t="shared" si="158"/>
        <v>12.35000358</v>
      </c>
      <c r="AF120" s="136">
        <f t="shared" si="158"/>
        <v>12.53100322</v>
      </c>
      <c r="AG120" s="136">
        <f t="shared" si="158"/>
        <v>12.6939029</v>
      </c>
      <c r="AH120" s="4"/>
      <c r="AI120" s="4"/>
      <c r="AJ120" s="136">
        <f>SUM(J120:U120)</f>
        <v>31.06895402</v>
      </c>
      <c r="AK120" s="136">
        <f t="shared" ref="AK120:AN120" si="159">+(AK114+AK117)*AK121</f>
        <v>106.0459199</v>
      </c>
      <c r="AL120" s="136">
        <f t="shared" si="159"/>
        <v>278.424514</v>
      </c>
      <c r="AM120" s="136">
        <f t="shared" si="159"/>
        <v>599.7611573</v>
      </c>
      <c r="AN120" s="136">
        <f t="shared" si="159"/>
        <v>1271.735799</v>
      </c>
      <c r="AO120" s="1"/>
      <c r="AP120" s="1"/>
    </row>
    <row r="121" ht="12.75" customHeight="1">
      <c r="A121" s="1"/>
      <c r="B121" s="52" t="s">
        <v>89</v>
      </c>
      <c r="C121" s="1"/>
      <c r="D121" s="1"/>
      <c r="E121" s="24"/>
      <c r="F121" s="128"/>
      <c r="G121" s="128"/>
      <c r="H121" s="128"/>
      <c r="I121" s="128"/>
      <c r="J121" s="53">
        <v>0.02</v>
      </c>
      <c r="K121" s="129">
        <f t="shared" ref="K121:AG121" si="160">+J121</f>
        <v>0.02</v>
      </c>
      <c r="L121" s="129">
        <f t="shared" si="160"/>
        <v>0.02</v>
      </c>
      <c r="M121" s="129">
        <f t="shared" si="160"/>
        <v>0.02</v>
      </c>
      <c r="N121" s="129">
        <f t="shared" si="160"/>
        <v>0.02</v>
      </c>
      <c r="O121" s="129">
        <f t="shared" si="160"/>
        <v>0.02</v>
      </c>
      <c r="P121" s="129">
        <f t="shared" si="160"/>
        <v>0.02</v>
      </c>
      <c r="Q121" s="129">
        <f t="shared" si="160"/>
        <v>0.02</v>
      </c>
      <c r="R121" s="129">
        <f t="shared" si="160"/>
        <v>0.02</v>
      </c>
      <c r="S121" s="129">
        <f t="shared" si="160"/>
        <v>0.02</v>
      </c>
      <c r="T121" s="129">
        <f t="shared" si="160"/>
        <v>0.02</v>
      </c>
      <c r="U121" s="129">
        <f t="shared" si="160"/>
        <v>0.02</v>
      </c>
      <c r="V121" s="129">
        <f t="shared" si="160"/>
        <v>0.02</v>
      </c>
      <c r="W121" s="129">
        <f t="shared" si="160"/>
        <v>0.02</v>
      </c>
      <c r="X121" s="129">
        <f t="shared" si="160"/>
        <v>0.02</v>
      </c>
      <c r="Y121" s="129">
        <f t="shared" si="160"/>
        <v>0.02</v>
      </c>
      <c r="Z121" s="129">
        <f t="shared" si="160"/>
        <v>0.02</v>
      </c>
      <c r="AA121" s="129">
        <f t="shared" si="160"/>
        <v>0.02</v>
      </c>
      <c r="AB121" s="129">
        <f t="shared" si="160"/>
        <v>0.02</v>
      </c>
      <c r="AC121" s="129">
        <f t="shared" si="160"/>
        <v>0.02</v>
      </c>
      <c r="AD121" s="129">
        <f t="shared" si="160"/>
        <v>0.02</v>
      </c>
      <c r="AE121" s="129">
        <f t="shared" si="160"/>
        <v>0.02</v>
      </c>
      <c r="AF121" s="129">
        <f t="shared" si="160"/>
        <v>0.02</v>
      </c>
      <c r="AG121" s="129">
        <f t="shared" si="160"/>
        <v>0.02</v>
      </c>
      <c r="AH121" s="4"/>
      <c r="AI121" s="4"/>
      <c r="AJ121" s="129">
        <f t="shared" ref="AJ121:AN121" si="161">+J121</f>
        <v>0.02</v>
      </c>
      <c r="AK121" s="129">
        <f t="shared" si="161"/>
        <v>0.02</v>
      </c>
      <c r="AL121" s="129">
        <f t="shared" si="161"/>
        <v>0.02</v>
      </c>
      <c r="AM121" s="129">
        <f t="shared" si="161"/>
        <v>0.02</v>
      </c>
      <c r="AN121" s="129">
        <f t="shared" si="161"/>
        <v>0.02</v>
      </c>
      <c r="AO121" s="1"/>
      <c r="AP121" s="1"/>
    </row>
    <row r="122" ht="12.75" customHeight="1">
      <c r="A122" s="1"/>
      <c r="B122" s="1"/>
      <c r="C122" s="1"/>
      <c r="D122" s="1"/>
      <c r="E122" s="24"/>
      <c r="F122" s="24"/>
      <c r="G122" s="24"/>
      <c r="H122" s="24"/>
      <c r="I122" s="2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4"/>
      <c r="AI122" s="4"/>
      <c r="AJ122" s="1"/>
      <c r="AK122" s="1"/>
      <c r="AL122" s="1"/>
      <c r="AM122" s="1"/>
      <c r="AN122" s="1"/>
      <c r="AO122" s="1"/>
      <c r="AP122" s="1"/>
    </row>
    <row r="123" ht="12.75" customHeight="1">
      <c r="A123" s="1"/>
      <c r="B123" s="1" t="s">
        <v>90</v>
      </c>
      <c r="C123" s="1"/>
      <c r="D123" s="1"/>
      <c r="E123" s="24"/>
      <c r="F123" s="24"/>
      <c r="G123" s="24"/>
      <c r="H123" s="24"/>
      <c r="I123" s="24"/>
      <c r="J123" s="103">
        <f t="shared" ref="J123:AG123" si="162">+J124*J125/1000</f>
        <v>0</v>
      </c>
      <c r="K123" s="103">
        <f t="shared" si="162"/>
        <v>0</v>
      </c>
      <c r="L123" s="103">
        <f t="shared" si="162"/>
        <v>0</v>
      </c>
      <c r="M123" s="103">
        <f t="shared" si="162"/>
        <v>12</v>
      </c>
      <c r="N123" s="103">
        <f t="shared" si="162"/>
        <v>12</v>
      </c>
      <c r="O123" s="103">
        <f t="shared" si="162"/>
        <v>8</v>
      </c>
      <c r="P123" s="103">
        <f t="shared" si="162"/>
        <v>8</v>
      </c>
      <c r="Q123" s="103">
        <f t="shared" si="162"/>
        <v>8</v>
      </c>
      <c r="R123" s="103">
        <f t="shared" si="162"/>
        <v>20</v>
      </c>
      <c r="S123" s="103">
        <f t="shared" si="162"/>
        <v>20</v>
      </c>
      <c r="T123" s="103">
        <f t="shared" si="162"/>
        <v>20</v>
      </c>
      <c r="U123" s="103">
        <f t="shared" si="162"/>
        <v>20</v>
      </c>
      <c r="V123" s="103">
        <f t="shared" si="162"/>
        <v>20</v>
      </c>
      <c r="W123" s="103">
        <f t="shared" si="162"/>
        <v>20</v>
      </c>
      <c r="X123" s="103">
        <f t="shared" si="162"/>
        <v>20</v>
      </c>
      <c r="Y123" s="103">
        <f t="shared" si="162"/>
        <v>32</v>
      </c>
      <c r="Z123" s="103">
        <f t="shared" si="162"/>
        <v>32</v>
      </c>
      <c r="AA123" s="103">
        <f t="shared" si="162"/>
        <v>32</v>
      </c>
      <c r="AB123" s="103">
        <f t="shared" si="162"/>
        <v>36</v>
      </c>
      <c r="AC123" s="103">
        <f t="shared" si="162"/>
        <v>36</v>
      </c>
      <c r="AD123" s="103">
        <f t="shared" si="162"/>
        <v>36</v>
      </c>
      <c r="AE123" s="103">
        <f t="shared" si="162"/>
        <v>48</v>
      </c>
      <c r="AF123" s="103">
        <f t="shared" si="162"/>
        <v>48</v>
      </c>
      <c r="AG123" s="103">
        <f t="shared" si="162"/>
        <v>48</v>
      </c>
      <c r="AH123" s="4"/>
      <c r="AI123" s="4"/>
      <c r="AJ123" s="136">
        <f t="shared" ref="AJ123:AJ124" si="165">SUM(J123:U123)</f>
        <v>128</v>
      </c>
      <c r="AK123" s="136">
        <f t="shared" ref="AK123:AK124" si="166">SUM(V123:AG123)</f>
        <v>408</v>
      </c>
      <c r="AL123" s="103">
        <f t="shared" ref="AL123:AN123" si="163">+AL124*AL125/1000</f>
        <v>1092</v>
      </c>
      <c r="AM123" s="103">
        <f t="shared" si="163"/>
        <v>2332.2</v>
      </c>
      <c r="AN123" s="103">
        <f t="shared" si="163"/>
        <v>4982.796</v>
      </c>
      <c r="AO123" s="1"/>
      <c r="AP123" s="1"/>
    </row>
    <row r="124" ht="12.75" customHeight="1">
      <c r="A124" s="1"/>
      <c r="B124" s="52" t="str">
        <f>+B129</f>
        <v>units sold</v>
      </c>
      <c r="C124" s="1"/>
      <c r="D124" s="1"/>
      <c r="E124" s="24"/>
      <c r="F124" s="24"/>
      <c r="G124" s="24"/>
      <c r="H124" s="24"/>
      <c r="I124" s="24"/>
      <c r="J124" s="27">
        <f t="shared" ref="J124:AG124" si="164">+J102</f>
        <v>0</v>
      </c>
      <c r="K124" s="27">
        <f t="shared" si="164"/>
        <v>0</v>
      </c>
      <c r="L124" s="27">
        <f t="shared" si="164"/>
        <v>0</v>
      </c>
      <c r="M124" s="27">
        <f t="shared" si="164"/>
        <v>300</v>
      </c>
      <c r="N124" s="27">
        <f t="shared" si="164"/>
        <v>300</v>
      </c>
      <c r="O124" s="27">
        <f t="shared" si="164"/>
        <v>200</v>
      </c>
      <c r="P124" s="27">
        <f t="shared" si="164"/>
        <v>200</v>
      </c>
      <c r="Q124" s="27">
        <f t="shared" si="164"/>
        <v>200</v>
      </c>
      <c r="R124" s="27">
        <f t="shared" si="164"/>
        <v>500</v>
      </c>
      <c r="S124" s="27">
        <f t="shared" si="164"/>
        <v>500</v>
      </c>
      <c r="T124" s="27">
        <f t="shared" si="164"/>
        <v>500</v>
      </c>
      <c r="U124" s="27">
        <f t="shared" si="164"/>
        <v>500</v>
      </c>
      <c r="V124" s="27">
        <f t="shared" si="164"/>
        <v>500</v>
      </c>
      <c r="W124" s="27">
        <f t="shared" si="164"/>
        <v>500</v>
      </c>
      <c r="X124" s="27">
        <f t="shared" si="164"/>
        <v>500</v>
      </c>
      <c r="Y124" s="27">
        <f t="shared" si="164"/>
        <v>800</v>
      </c>
      <c r="Z124" s="27">
        <f t="shared" si="164"/>
        <v>800</v>
      </c>
      <c r="AA124" s="27">
        <f t="shared" si="164"/>
        <v>800</v>
      </c>
      <c r="AB124" s="27">
        <f t="shared" si="164"/>
        <v>900</v>
      </c>
      <c r="AC124" s="27">
        <f t="shared" si="164"/>
        <v>900</v>
      </c>
      <c r="AD124" s="27">
        <f t="shared" si="164"/>
        <v>900</v>
      </c>
      <c r="AE124" s="27">
        <f t="shared" si="164"/>
        <v>1200</v>
      </c>
      <c r="AF124" s="27">
        <f t="shared" si="164"/>
        <v>1200</v>
      </c>
      <c r="AG124" s="27">
        <f t="shared" si="164"/>
        <v>1200</v>
      </c>
      <c r="AH124" s="4"/>
      <c r="AI124" s="4"/>
      <c r="AJ124" s="16">
        <f t="shared" si="165"/>
        <v>3200</v>
      </c>
      <c r="AK124" s="16">
        <f t="shared" si="166"/>
        <v>10200</v>
      </c>
      <c r="AL124" s="27">
        <f t="shared" ref="AL124:AN124" si="167">+AL102</f>
        <v>27300</v>
      </c>
      <c r="AM124" s="27">
        <f t="shared" si="167"/>
        <v>58305</v>
      </c>
      <c r="AN124" s="27">
        <f t="shared" si="167"/>
        <v>124569.9</v>
      </c>
      <c r="AO124" s="1"/>
      <c r="AP124" s="1"/>
    </row>
    <row r="125" ht="12.75" customHeight="1">
      <c r="A125" s="1"/>
      <c r="B125" s="52" t="s">
        <v>91</v>
      </c>
      <c r="C125" s="1"/>
      <c r="D125" s="1"/>
      <c r="E125" s="58">
        <v>0.0</v>
      </c>
      <c r="F125" s="58">
        <v>0.0</v>
      </c>
      <c r="G125" s="58">
        <v>0.0</v>
      </c>
      <c r="H125" s="58">
        <v>0.0</v>
      </c>
      <c r="I125" s="58">
        <v>0.0</v>
      </c>
      <c r="J125" s="138">
        <f>10%*J103</f>
        <v>40</v>
      </c>
      <c r="K125" s="107">
        <f t="shared" ref="K125:AG125" si="168">J125</f>
        <v>40</v>
      </c>
      <c r="L125" s="107">
        <f t="shared" si="168"/>
        <v>40</v>
      </c>
      <c r="M125" s="107">
        <f t="shared" si="168"/>
        <v>40</v>
      </c>
      <c r="N125" s="107">
        <f t="shared" si="168"/>
        <v>40</v>
      </c>
      <c r="O125" s="107">
        <f t="shared" si="168"/>
        <v>40</v>
      </c>
      <c r="P125" s="107">
        <f t="shared" si="168"/>
        <v>40</v>
      </c>
      <c r="Q125" s="107">
        <f t="shared" si="168"/>
        <v>40</v>
      </c>
      <c r="R125" s="107">
        <f t="shared" si="168"/>
        <v>40</v>
      </c>
      <c r="S125" s="107">
        <f t="shared" si="168"/>
        <v>40</v>
      </c>
      <c r="T125" s="107">
        <f t="shared" si="168"/>
        <v>40</v>
      </c>
      <c r="U125" s="107">
        <f t="shared" si="168"/>
        <v>40</v>
      </c>
      <c r="V125" s="107">
        <f t="shared" si="168"/>
        <v>40</v>
      </c>
      <c r="W125" s="107">
        <f t="shared" si="168"/>
        <v>40</v>
      </c>
      <c r="X125" s="107">
        <f t="shared" si="168"/>
        <v>40</v>
      </c>
      <c r="Y125" s="107">
        <f t="shared" si="168"/>
        <v>40</v>
      </c>
      <c r="Z125" s="107">
        <f t="shared" si="168"/>
        <v>40</v>
      </c>
      <c r="AA125" s="107">
        <f t="shared" si="168"/>
        <v>40</v>
      </c>
      <c r="AB125" s="107">
        <f t="shared" si="168"/>
        <v>40</v>
      </c>
      <c r="AC125" s="107">
        <f t="shared" si="168"/>
        <v>40</v>
      </c>
      <c r="AD125" s="107">
        <f t="shared" si="168"/>
        <v>40</v>
      </c>
      <c r="AE125" s="107">
        <f t="shared" si="168"/>
        <v>40</v>
      </c>
      <c r="AF125" s="107">
        <f t="shared" si="168"/>
        <v>40</v>
      </c>
      <c r="AG125" s="107">
        <f t="shared" si="168"/>
        <v>40</v>
      </c>
      <c r="AH125" s="106"/>
      <c r="AI125" s="106"/>
      <c r="AJ125" s="107">
        <f>SUMPRODUCT(J125:U125,J102:U102)/SUM(J102:U102)</f>
        <v>40</v>
      </c>
      <c r="AK125" s="107">
        <f>SUMPRODUCT(V125:AG125,V102:AG102)/SUM(V102:AG102)</f>
        <v>40</v>
      </c>
      <c r="AL125" s="107">
        <f t="shared" ref="AL125:AN125" si="169">+AK125</f>
        <v>40</v>
      </c>
      <c r="AM125" s="107">
        <f t="shared" si="169"/>
        <v>40</v>
      </c>
      <c r="AN125" s="107">
        <f t="shared" si="169"/>
        <v>40</v>
      </c>
      <c r="AO125" s="1"/>
      <c r="AP125" s="1"/>
    </row>
    <row r="126" ht="12.75" customHeight="1">
      <c r="A126" s="1"/>
      <c r="B126" s="1"/>
      <c r="C126" s="1"/>
      <c r="D126" s="1"/>
      <c r="E126" s="24"/>
      <c r="F126" s="24"/>
      <c r="G126" s="24"/>
      <c r="H126" s="24"/>
      <c r="I126" s="2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4"/>
      <c r="AI126" s="4"/>
      <c r="AJ126" s="1"/>
      <c r="AK126" s="1"/>
      <c r="AL126" s="1"/>
      <c r="AM126" s="1"/>
      <c r="AN126" s="1"/>
      <c r="AO126" s="1"/>
      <c r="AP126" s="1"/>
    </row>
    <row r="127" ht="12.75" customHeight="1">
      <c r="A127" s="1"/>
      <c r="B127" s="1" t="s">
        <v>92</v>
      </c>
      <c r="C127" s="1"/>
      <c r="D127" s="1"/>
      <c r="E127" s="26">
        <v>0.0</v>
      </c>
      <c r="F127" s="26">
        <v>0.0</v>
      </c>
      <c r="G127" s="26">
        <v>0.0</v>
      </c>
      <c r="H127" s="26">
        <v>0.0</v>
      </c>
      <c r="I127" s="26">
        <v>0.0</v>
      </c>
      <c r="J127" s="103">
        <f t="shared" ref="J127:AG127" si="170">+J94</f>
        <v>0</v>
      </c>
      <c r="K127" s="103">
        <f t="shared" si="170"/>
        <v>0</v>
      </c>
      <c r="L127" s="103">
        <f t="shared" si="170"/>
        <v>0</v>
      </c>
      <c r="M127" s="103">
        <f t="shared" si="170"/>
        <v>54</v>
      </c>
      <c r="N127" s="103">
        <f t="shared" si="170"/>
        <v>47.75</v>
      </c>
      <c r="O127" s="103">
        <f t="shared" si="170"/>
        <v>31.83333333</v>
      </c>
      <c r="P127" s="103">
        <f t="shared" si="170"/>
        <v>31.83333333</v>
      </c>
      <c r="Q127" s="103">
        <f t="shared" si="170"/>
        <v>31.27777778</v>
      </c>
      <c r="R127" s="103">
        <f t="shared" si="170"/>
        <v>78.19444444</v>
      </c>
      <c r="S127" s="103">
        <f t="shared" si="170"/>
        <v>78.19444444</v>
      </c>
      <c r="T127" s="103">
        <f t="shared" si="170"/>
        <v>77.61574074</v>
      </c>
      <c r="U127" s="103">
        <f t="shared" si="170"/>
        <v>77.61574074</v>
      </c>
      <c r="V127" s="103">
        <f t="shared" si="170"/>
        <v>77.61574074</v>
      </c>
      <c r="W127" s="103">
        <f t="shared" si="170"/>
        <v>66.6455314</v>
      </c>
      <c r="X127" s="103">
        <f t="shared" si="170"/>
        <v>66.6455314</v>
      </c>
      <c r="Y127" s="103">
        <f t="shared" si="170"/>
        <v>106.6328502</v>
      </c>
      <c r="Z127" s="103">
        <f t="shared" si="170"/>
        <v>104.4388084</v>
      </c>
      <c r="AA127" s="103">
        <f t="shared" si="170"/>
        <v>104.4388084</v>
      </c>
      <c r="AB127" s="103">
        <f t="shared" si="170"/>
        <v>117.4936594</v>
      </c>
      <c r="AC127" s="103">
        <f t="shared" si="170"/>
        <v>117.0705228</v>
      </c>
      <c r="AD127" s="103">
        <f t="shared" si="170"/>
        <v>117.0705228</v>
      </c>
      <c r="AE127" s="103">
        <f t="shared" si="170"/>
        <v>156.0940304</v>
      </c>
      <c r="AF127" s="103">
        <f t="shared" si="170"/>
        <v>156.0134329</v>
      </c>
      <c r="AG127" s="103">
        <f t="shared" si="170"/>
        <v>156.0134329</v>
      </c>
      <c r="AH127" s="139"/>
      <c r="AI127" s="139"/>
      <c r="AJ127" s="136">
        <f>SUM(J127:U127)</f>
        <v>508.3148148</v>
      </c>
      <c r="AK127" s="136">
        <f>SUM(V127:AG127)</f>
        <v>1346.172872</v>
      </c>
      <c r="AL127" s="103">
        <f t="shared" ref="AL127:AN127" si="171">+AL94</f>
        <v>2243.136913</v>
      </c>
      <c r="AM127" s="103">
        <f t="shared" si="171"/>
        <v>4520.611621</v>
      </c>
      <c r="AN127" s="103">
        <f t="shared" si="171"/>
        <v>9526.367303</v>
      </c>
      <c r="AO127" s="1"/>
      <c r="AP127" s="1"/>
    </row>
    <row r="128" ht="12.75" customHeight="1">
      <c r="A128" s="1"/>
      <c r="B128" s="52" t="s">
        <v>93</v>
      </c>
      <c r="C128" s="1"/>
      <c r="D128" s="1"/>
      <c r="E128" s="140">
        <f t="shared" ref="E128:AG128" si="172">IFERROR(E127/E$104,0)</f>
        <v>0</v>
      </c>
      <c r="F128" s="140">
        <f t="shared" si="172"/>
        <v>0</v>
      </c>
      <c r="G128" s="140">
        <f t="shared" si="172"/>
        <v>0</v>
      </c>
      <c r="H128" s="140">
        <f t="shared" si="172"/>
        <v>0</v>
      </c>
      <c r="I128" s="140">
        <f t="shared" si="172"/>
        <v>0</v>
      </c>
      <c r="J128" s="129">
        <f t="shared" si="172"/>
        <v>0</v>
      </c>
      <c r="K128" s="129">
        <f t="shared" si="172"/>
        <v>0</v>
      </c>
      <c r="L128" s="129">
        <f t="shared" si="172"/>
        <v>0</v>
      </c>
      <c r="M128" s="129">
        <f t="shared" si="172"/>
        <v>0.45</v>
      </c>
      <c r="N128" s="129">
        <f t="shared" si="172"/>
        <v>0.3979166667</v>
      </c>
      <c r="O128" s="129">
        <f t="shared" si="172"/>
        <v>0.3979166667</v>
      </c>
      <c r="P128" s="129">
        <f t="shared" si="172"/>
        <v>0.3979166667</v>
      </c>
      <c r="Q128" s="129">
        <f t="shared" si="172"/>
        <v>0.3909722222</v>
      </c>
      <c r="R128" s="129">
        <f t="shared" si="172"/>
        <v>0.3909722222</v>
      </c>
      <c r="S128" s="129">
        <f t="shared" si="172"/>
        <v>0.3909722222</v>
      </c>
      <c r="T128" s="129">
        <f t="shared" si="172"/>
        <v>0.3880787037</v>
      </c>
      <c r="U128" s="129">
        <f t="shared" si="172"/>
        <v>0.3880787037</v>
      </c>
      <c r="V128" s="129">
        <f t="shared" si="172"/>
        <v>0.3880787037</v>
      </c>
      <c r="W128" s="129">
        <f t="shared" si="172"/>
        <v>0.333227657</v>
      </c>
      <c r="X128" s="129">
        <f t="shared" si="172"/>
        <v>0.333227657</v>
      </c>
      <c r="Y128" s="129">
        <f t="shared" si="172"/>
        <v>0.333227657</v>
      </c>
      <c r="Z128" s="129">
        <f t="shared" si="172"/>
        <v>0.3263712762</v>
      </c>
      <c r="AA128" s="129">
        <f t="shared" si="172"/>
        <v>0.3263712762</v>
      </c>
      <c r="AB128" s="129">
        <f t="shared" si="172"/>
        <v>0.3263712762</v>
      </c>
      <c r="AC128" s="129">
        <f t="shared" si="172"/>
        <v>0.3251958966</v>
      </c>
      <c r="AD128" s="129">
        <f t="shared" si="172"/>
        <v>0.3251958966</v>
      </c>
      <c r="AE128" s="129">
        <f t="shared" si="172"/>
        <v>0.3251958966</v>
      </c>
      <c r="AF128" s="129">
        <f t="shared" si="172"/>
        <v>0.3250279852</v>
      </c>
      <c r="AG128" s="129">
        <f t="shared" si="172"/>
        <v>0.3250279852</v>
      </c>
      <c r="AH128" s="4"/>
      <c r="AI128" s="4"/>
      <c r="AJ128" s="129">
        <f t="shared" ref="AJ128:AN128" si="173">IFERROR(AJ127/AJ$114,0)</f>
        <v>0.3566001155</v>
      </c>
      <c r="AK128" s="129">
        <f t="shared" si="173"/>
        <v>0.2750493377</v>
      </c>
      <c r="AL128" s="129">
        <f t="shared" si="173"/>
        <v>0.1748458532</v>
      </c>
      <c r="AM128" s="129">
        <f t="shared" si="173"/>
        <v>0.163459461</v>
      </c>
      <c r="AN128" s="129">
        <f t="shared" si="173"/>
        <v>0.1625549158</v>
      </c>
      <c r="AO128" s="1"/>
      <c r="AP128" s="1"/>
    </row>
    <row r="129" ht="12.75" customHeight="1">
      <c r="A129" s="1"/>
      <c r="B129" s="52" t="s">
        <v>94</v>
      </c>
      <c r="C129" s="1"/>
      <c r="D129" s="1"/>
      <c r="E129" s="140">
        <f t="shared" ref="E129:I129" si="174">E102</f>
        <v>0</v>
      </c>
      <c r="F129" s="140">
        <f t="shared" si="174"/>
        <v>0</v>
      </c>
      <c r="G129" s="140">
        <f t="shared" si="174"/>
        <v>0</v>
      </c>
      <c r="H129" s="140">
        <f t="shared" si="174"/>
        <v>0</v>
      </c>
      <c r="I129" s="140">
        <f t="shared" si="174"/>
        <v>0</v>
      </c>
      <c r="J129" s="141">
        <f t="shared" ref="J129:AG129" si="175">+J77</f>
        <v>0</v>
      </c>
      <c r="K129" s="141">
        <f t="shared" si="175"/>
        <v>0</v>
      </c>
      <c r="L129" s="141">
        <f t="shared" si="175"/>
        <v>0</v>
      </c>
      <c r="M129" s="141">
        <f t="shared" si="175"/>
        <v>300</v>
      </c>
      <c r="N129" s="141">
        <f t="shared" si="175"/>
        <v>300</v>
      </c>
      <c r="O129" s="141">
        <f t="shared" si="175"/>
        <v>200</v>
      </c>
      <c r="P129" s="141">
        <f t="shared" si="175"/>
        <v>200</v>
      </c>
      <c r="Q129" s="141">
        <f t="shared" si="175"/>
        <v>200</v>
      </c>
      <c r="R129" s="141">
        <f t="shared" si="175"/>
        <v>500</v>
      </c>
      <c r="S129" s="141">
        <f t="shared" si="175"/>
        <v>500</v>
      </c>
      <c r="T129" s="141">
        <f t="shared" si="175"/>
        <v>500</v>
      </c>
      <c r="U129" s="141">
        <f t="shared" si="175"/>
        <v>500</v>
      </c>
      <c r="V129" s="141">
        <f t="shared" si="175"/>
        <v>500</v>
      </c>
      <c r="W129" s="141">
        <f t="shared" si="175"/>
        <v>500</v>
      </c>
      <c r="X129" s="141">
        <f t="shared" si="175"/>
        <v>500</v>
      </c>
      <c r="Y129" s="141">
        <f t="shared" si="175"/>
        <v>800</v>
      </c>
      <c r="Z129" s="141">
        <f t="shared" si="175"/>
        <v>800</v>
      </c>
      <c r="AA129" s="141">
        <f t="shared" si="175"/>
        <v>800</v>
      </c>
      <c r="AB129" s="141">
        <f t="shared" si="175"/>
        <v>900</v>
      </c>
      <c r="AC129" s="141">
        <f t="shared" si="175"/>
        <v>900</v>
      </c>
      <c r="AD129" s="141">
        <f t="shared" si="175"/>
        <v>900</v>
      </c>
      <c r="AE129" s="141">
        <f t="shared" si="175"/>
        <v>1200</v>
      </c>
      <c r="AF129" s="141">
        <f t="shared" si="175"/>
        <v>1200</v>
      </c>
      <c r="AG129" s="141">
        <f t="shared" si="175"/>
        <v>1200</v>
      </c>
      <c r="AH129" s="4"/>
      <c r="AI129" s="4"/>
      <c r="AJ129" s="27">
        <f>SUM(J129:U129)</f>
        <v>3200</v>
      </c>
      <c r="AK129" s="27">
        <f>SUM(V129:AG129)</f>
        <v>10200</v>
      </c>
      <c r="AL129" s="142">
        <f t="shared" ref="AL129:AN129" si="176">AL102</f>
        <v>27300</v>
      </c>
      <c r="AM129" s="142">
        <f t="shared" si="176"/>
        <v>58305</v>
      </c>
      <c r="AN129" s="142">
        <f t="shared" si="176"/>
        <v>124569.9</v>
      </c>
      <c r="AO129" s="1"/>
      <c r="AP129" s="1"/>
    </row>
    <row r="130" ht="12.75" customHeight="1">
      <c r="A130" s="1"/>
      <c r="B130" s="52" t="s">
        <v>95</v>
      </c>
      <c r="C130" s="1"/>
      <c r="D130" s="1"/>
      <c r="E130" s="58">
        <v>0.0</v>
      </c>
      <c r="F130" s="58">
        <v>0.0</v>
      </c>
      <c r="G130" s="58">
        <v>0.0</v>
      </c>
      <c r="H130" s="58">
        <v>0.0</v>
      </c>
      <c r="I130" s="58">
        <v>0.0</v>
      </c>
      <c r="J130" s="141">
        <f t="shared" ref="J130:AG130" si="177">+J85</f>
        <v>0</v>
      </c>
      <c r="K130" s="141">
        <f t="shared" si="177"/>
        <v>0</v>
      </c>
      <c r="L130" s="141">
        <f t="shared" si="177"/>
        <v>180</v>
      </c>
      <c r="M130" s="141">
        <f t="shared" si="177"/>
        <v>180</v>
      </c>
      <c r="N130" s="141">
        <f t="shared" si="177"/>
        <v>159.1666667</v>
      </c>
      <c r="O130" s="141">
        <f t="shared" si="177"/>
        <v>159.1666667</v>
      </c>
      <c r="P130" s="141">
        <f t="shared" si="177"/>
        <v>159.1666667</v>
      </c>
      <c r="Q130" s="141">
        <f t="shared" si="177"/>
        <v>156.3888889</v>
      </c>
      <c r="R130" s="141">
        <f t="shared" si="177"/>
        <v>156.3888889</v>
      </c>
      <c r="S130" s="141">
        <f t="shared" si="177"/>
        <v>156.3888889</v>
      </c>
      <c r="T130" s="141">
        <f t="shared" si="177"/>
        <v>155.2314815</v>
      </c>
      <c r="U130" s="141">
        <f t="shared" si="177"/>
        <v>155.2314815</v>
      </c>
      <c r="V130" s="141">
        <f t="shared" si="177"/>
        <v>155.2314815</v>
      </c>
      <c r="W130" s="141">
        <f t="shared" si="177"/>
        <v>133.2910628</v>
      </c>
      <c r="X130" s="141">
        <f t="shared" si="177"/>
        <v>133.2910628</v>
      </c>
      <c r="Y130" s="141">
        <f t="shared" si="177"/>
        <v>133.2910628</v>
      </c>
      <c r="Z130" s="141">
        <f t="shared" si="177"/>
        <v>130.5485105</v>
      </c>
      <c r="AA130" s="141">
        <f t="shared" si="177"/>
        <v>130.5485105</v>
      </c>
      <c r="AB130" s="141">
        <f t="shared" si="177"/>
        <v>130.5485105</v>
      </c>
      <c r="AC130" s="141">
        <f t="shared" si="177"/>
        <v>130.0783586</v>
      </c>
      <c r="AD130" s="141">
        <f t="shared" si="177"/>
        <v>130.0783586</v>
      </c>
      <c r="AE130" s="141">
        <f t="shared" si="177"/>
        <v>130.0783586</v>
      </c>
      <c r="AF130" s="141">
        <f t="shared" si="177"/>
        <v>130.0111941</v>
      </c>
      <c r="AG130" s="141">
        <f t="shared" si="177"/>
        <v>130.0111941</v>
      </c>
      <c r="AH130" s="143"/>
      <c r="AI130" s="143"/>
      <c r="AJ130" s="107">
        <f t="shared" ref="AJ130:AK130" si="178">AJ127*1000/AJ129-AJ125</f>
        <v>118.8483796</v>
      </c>
      <c r="AK130" s="107">
        <f t="shared" si="178"/>
        <v>91.97773252</v>
      </c>
      <c r="AL130" s="107">
        <f t="shared" ref="AL130:AN130" si="179">+AL127/AL129*1000</f>
        <v>82.16618728</v>
      </c>
      <c r="AM130" s="107">
        <f t="shared" si="179"/>
        <v>77.53385852</v>
      </c>
      <c r="AN130" s="107">
        <f t="shared" si="179"/>
        <v>76.47407041</v>
      </c>
      <c r="AO130" s="1"/>
      <c r="AP130" s="1"/>
    </row>
    <row r="131" ht="12.75" customHeight="1">
      <c r="A131" s="1"/>
      <c r="B131" s="1"/>
      <c r="C131" s="1"/>
      <c r="D131" s="1"/>
      <c r="E131" s="24"/>
      <c r="F131" s="24"/>
      <c r="G131" s="24"/>
      <c r="H131" s="24"/>
      <c r="I131" s="2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4"/>
      <c r="AI131" s="4"/>
      <c r="AJ131" s="1"/>
      <c r="AK131" s="1"/>
      <c r="AL131" s="1"/>
      <c r="AM131" s="1"/>
      <c r="AN131" s="1"/>
      <c r="AO131" s="1"/>
      <c r="AP131" s="1"/>
    </row>
    <row r="132" ht="12.75" customHeight="1">
      <c r="A132" s="1"/>
      <c r="B132" s="1" t="s">
        <v>96</v>
      </c>
      <c r="C132" s="1"/>
      <c r="D132" s="1"/>
      <c r="E132" s="26">
        <v>0.0</v>
      </c>
      <c r="F132" s="26">
        <v>0.0</v>
      </c>
      <c r="G132" s="26">
        <v>0.0</v>
      </c>
      <c r="H132" s="26">
        <v>0.0</v>
      </c>
      <c r="I132" s="26">
        <v>0.0</v>
      </c>
      <c r="J132" s="103">
        <f t="shared" ref="J132:AG132" si="180">J135*J134/1000</f>
        <v>0</v>
      </c>
      <c r="K132" s="103">
        <f t="shared" si="180"/>
        <v>0</v>
      </c>
      <c r="L132" s="103">
        <f t="shared" si="180"/>
        <v>0</v>
      </c>
      <c r="M132" s="103">
        <f t="shared" si="180"/>
        <v>0.45</v>
      </c>
      <c r="N132" s="103">
        <f t="shared" si="180"/>
        <v>1.305</v>
      </c>
      <c r="O132" s="103">
        <f t="shared" si="180"/>
        <v>1.9245</v>
      </c>
      <c r="P132" s="103">
        <f t="shared" si="180"/>
        <v>2.33205</v>
      </c>
      <c r="Q132" s="103">
        <f t="shared" si="180"/>
        <v>2.698845</v>
      </c>
      <c r="R132" s="103">
        <f t="shared" si="180"/>
        <v>3.4789605</v>
      </c>
      <c r="S132" s="103">
        <f t="shared" si="180"/>
        <v>4.63106445</v>
      </c>
      <c r="T132" s="103">
        <f t="shared" si="180"/>
        <v>5.667958005</v>
      </c>
      <c r="U132" s="103">
        <f t="shared" si="180"/>
        <v>6.601162205</v>
      </c>
      <c r="V132" s="103">
        <f t="shared" si="180"/>
        <v>7.441045984</v>
      </c>
      <c r="W132" s="103">
        <f t="shared" si="180"/>
        <v>8.196941386</v>
      </c>
      <c r="X132" s="103">
        <f t="shared" si="180"/>
        <v>8.877247247</v>
      </c>
      <c r="Y132" s="103">
        <f t="shared" si="180"/>
        <v>9.939522522</v>
      </c>
      <c r="Z132" s="103">
        <f t="shared" si="180"/>
        <v>11.34557027</v>
      </c>
      <c r="AA132" s="103">
        <f t="shared" si="180"/>
        <v>12.61101324</v>
      </c>
      <c r="AB132" s="103">
        <f t="shared" si="180"/>
        <v>13.89991192</v>
      </c>
      <c r="AC132" s="103">
        <f t="shared" si="180"/>
        <v>15.20992073</v>
      </c>
      <c r="AD132" s="103">
        <f t="shared" si="180"/>
        <v>16.38892865</v>
      </c>
      <c r="AE132" s="103">
        <f t="shared" si="180"/>
        <v>17.90003579</v>
      </c>
      <c r="AF132" s="103">
        <f t="shared" si="180"/>
        <v>19.71003221</v>
      </c>
      <c r="AG132" s="103">
        <f t="shared" si="180"/>
        <v>21.33902899</v>
      </c>
      <c r="AH132" s="4"/>
      <c r="AI132" s="4"/>
      <c r="AJ132" s="103">
        <f>SUM(J132:U132)</f>
        <v>29.08954016</v>
      </c>
      <c r="AK132" s="103">
        <f>SUM(V132:AG132)</f>
        <v>162.8591989</v>
      </c>
      <c r="AL132" s="103">
        <f t="shared" ref="AL132:AN132" si="181">AL135*AL107/1000</f>
        <v>381.8451397</v>
      </c>
      <c r="AM132" s="103">
        <f t="shared" si="181"/>
        <v>866.7715732</v>
      </c>
      <c r="AN132" s="103">
        <f t="shared" si="181"/>
        <v>1755.206794</v>
      </c>
      <c r="AO132" s="1"/>
      <c r="AP132" s="1"/>
    </row>
    <row r="133" ht="12.75" customHeight="1">
      <c r="A133" s="1"/>
      <c r="B133" s="52" t="s">
        <v>97</v>
      </c>
      <c r="C133" s="1"/>
      <c r="D133" s="1"/>
      <c r="E133" s="128">
        <f t="shared" ref="E133:J133" si="182">IFERROR(E132/E$109,0)</f>
        <v>0</v>
      </c>
      <c r="F133" s="128">
        <f t="shared" si="182"/>
        <v>0</v>
      </c>
      <c r="G133" s="128">
        <f t="shared" si="182"/>
        <v>0</v>
      </c>
      <c r="H133" s="128">
        <f t="shared" si="182"/>
        <v>0</v>
      </c>
      <c r="I133" s="128">
        <f t="shared" si="182"/>
        <v>0</v>
      </c>
      <c r="J133" s="129">
        <f t="shared" si="182"/>
        <v>0</v>
      </c>
      <c r="K133" s="129">
        <f t="shared" ref="K133:AG133" si="183">IFERROR(K132/K$114,0)</f>
        <v>0</v>
      </c>
      <c r="L133" s="129">
        <f t="shared" si="183"/>
        <v>0</v>
      </c>
      <c r="M133" s="129">
        <f t="shared" si="183"/>
        <v>0.003680981595</v>
      </c>
      <c r="N133" s="129">
        <f t="shared" si="183"/>
        <v>0.01031416716</v>
      </c>
      <c r="O133" s="129">
        <f t="shared" si="183"/>
        <v>0.02147340233</v>
      </c>
      <c r="P133" s="129">
        <f t="shared" si="183"/>
        <v>0.02544232642</v>
      </c>
      <c r="Q133" s="129">
        <f t="shared" si="183"/>
        <v>0.02886643533</v>
      </c>
      <c r="R133" s="129">
        <f t="shared" si="183"/>
        <v>0.01600296079</v>
      </c>
      <c r="S133" s="129">
        <f t="shared" si="183"/>
        <v>0.02075265068</v>
      </c>
      <c r="T133" s="129">
        <f t="shared" si="183"/>
        <v>0.02482247183</v>
      </c>
      <c r="U133" s="129">
        <f t="shared" si="183"/>
        <v>0.0283304617</v>
      </c>
      <c r="V133" s="129">
        <f t="shared" si="183"/>
        <v>0.03136965398</v>
      </c>
      <c r="W133" s="129">
        <f t="shared" si="183"/>
        <v>0.03401436336</v>
      </c>
      <c r="X133" s="129">
        <f t="shared" si="183"/>
        <v>0.03632466126</v>
      </c>
      <c r="Y133" s="129">
        <f t="shared" si="183"/>
        <v>0.02688554695</v>
      </c>
      <c r="Z133" s="129">
        <f t="shared" si="183"/>
        <v>0.03011609104</v>
      </c>
      <c r="AA133" s="129">
        <f t="shared" si="183"/>
        <v>0.03292219411</v>
      </c>
      <c r="AB133" s="129">
        <f t="shared" si="183"/>
        <v>0.03236304114</v>
      </c>
      <c r="AC133" s="129">
        <f t="shared" si="183"/>
        <v>0.03488117086</v>
      </c>
      <c r="AD133" s="129">
        <f t="shared" si="183"/>
        <v>0.03708366852</v>
      </c>
      <c r="AE133" s="129">
        <f t="shared" si="183"/>
        <v>0.03143113286</v>
      </c>
      <c r="AF133" s="129">
        <f t="shared" si="183"/>
        <v>0.03406797463</v>
      </c>
      <c r="AG133" s="129">
        <f t="shared" si="183"/>
        <v>0.0363715793</v>
      </c>
      <c r="AH133" s="4"/>
      <c r="AI133" s="4"/>
      <c r="AJ133" s="129">
        <f t="shared" ref="AJ133:AN133" si="184">IFERROR(AJ132/AJ$114,0)</f>
        <v>0.02040730091</v>
      </c>
      <c r="AK133" s="129">
        <f t="shared" si="184"/>
        <v>0.03327530642</v>
      </c>
      <c r="AL133" s="129">
        <f t="shared" si="184"/>
        <v>0.02976369335</v>
      </c>
      <c r="AM133" s="129">
        <f t="shared" si="184"/>
        <v>0.03134133743</v>
      </c>
      <c r="AN133" s="129">
        <f t="shared" si="184"/>
        <v>0.02995029307</v>
      </c>
      <c r="AO133" s="1"/>
      <c r="AP133" s="1"/>
    </row>
    <row r="134" ht="12.75" customHeight="1">
      <c r="A134" s="1"/>
      <c r="B134" s="52" t="s">
        <v>98</v>
      </c>
      <c r="C134" s="1"/>
      <c r="D134" s="1"/>
      <c r="E134" s="140">
        <f t="shared" ref="E134:AG134" si="185">E107</f>
        <v>0</v>
      </c>
      <c r="F134" s="140">
        <f t="shared" si="185"/>
        <v>0</v>
      </c>
      <c r="G134" s="140">
        <f t="shared" si="185"/>
        <v>0</v>
      </c>
      <c r="H134" s="140">
        <f t="shared" si="185"/>
        <v>0</v>
      </c>
      <c r="I134" s="140">
        <f t="shared" si="185"/>
        <v>0</v>
      </c>
      <c r="J134" s="141">
        <f t="shared" si="185"/>
        <v>0</v>
      </c>
      <c r="K134" s="141">
        <f t="shared" si="185"/>
        <v>0</v>
      </c>
      <c r="L134" s="141">
        <f t="shared" si="185"/>
        <v>0</v>
      </c>
      <c r="M134" s="141">
        <f t="shared" si="185"/>
        <v>150</v>
      </c>
      <c r="N134" s="141">
        <f t="shared" si="185"/>
        <v>435</v>
      </c>
      <c r="O134" s="141">
        <f t="shared" si="185"/>
        <v>641.5</v>
      </c>
      <c r="P134" s="141">
        <f t="shared" si="185"/>
        <v>777.35</v>
      </c>
      <c r="Q134" s="141">
        <f t="shared" si="185"/>
        <v>899.615</v>
      </c>
      <c r="R134" s="141">
        <f t="shared" si="185"/>
        <v>1159.6535</v>
      </c>
      <c r="S134" s="141">
        <f t="shared" si="185"/>
        <v>1543.68815</v>
      </c>
      <c r="T134" s="141">
        <f t="shared" si="185"/>
        <v>1889.319335</v>
      </c>
      <c r="U134" s="141">
        <f t="shared" si="185"/>
        <v>2200.387402</v>
      </c>
      <c r="V134" s="141">
        <f t="shared" si="185"/>
        <v>2480.348661</v>
      </c>
      <c r="W134" s="141">
        <f t="shared" si="185"/>
        <v>2732.313795</v>
      </c>
      <c r="X134" s="141">
        <f t="shared" si="185"/>
        <v>2959.082416</v>
      </c>
      <c r="Y134" s="141">
        <f t="shared" si="185"/>
        <v>3313.174174</v>
      </c>
      <c r="Z134" s="141">
        <f t="shared" si="185"/>
        <v>3781.856757</v>
      </c>
      <c r="AA134" s="141">
        <f t="shared" si="185"/>
        <v>4203.671081</v>
      </c>
      <c r="AB134" s="141">
        <f t="shared" si="185"/>
        <v>4633.303973</v>
      </c>
      <c r="AC134" s="141">
        <f t="shared" si="185"/>
        <v>5069.973576</v>
      </c>
      <c r="AD134" s="141">
        <f t="shared" si="185"/>
        <v>5462.976218</v>
      </c>
      <c r="AE134" s="141">
        <f t="shared" si="185"/>
        <v>5966.678596</v>
      </c>
      <c r="AF134" s="141">
        <f t="shared" si="185"/>
        <v>6570.010737</v>
      </c>
      <c r="AG134" s="141">
        <f t="shared" si="185"/>
        <v>7113.009663</v>
      </c>
      <c r="AH134" s="4"/>
      <c r="AI134" s="4"/>
      <c r="AJ134" s="16">
        <f>AVERAGE(J134:U134)</f>
        <v>808.0427822</v>
      </c>
      <c r="AK134" s="16">
        <f>AVERAGE(V134:AG134)</f>
        <v>4523.866637</v>
      </c>
      <c r="AL134" s="141">
        <f t="shared" ref="AL134:AN134" si="186">AL107</f>
        <v>10606.80943</v>
      </c>
      <c r="AM134" s="141">
        <f t="shared" si="186"/>
        <v>24076.98814</v>
      </c>
      <c r="AN134" s="141">
        <f t="shared" si="186"/>
        <v>48755.74429</v>
      </c>
      <c r="AO134" s="1"/>
      <c r="AP134" s="1"/>
    </row>
    <row r="135" ht="12.75" customHeight="1">
      <c r="A135" s="1"/>
      <c r="B135" s="52" t="s">
        <v>99</v>
      </c>
      <c r="C135" s="1"/>
      <c r="D135" s="1"/>
      <c r="E135" s="58">
        <v>0.0</v>
      </c>
      <c r="F135" s="58">
        <v>0.0</v>
      </c>
      <c r="G135" s="58">
        <v>0.0</v>
      </c>
      <c r="H135" s="58">
        <v>0.0</v>
      </c>
      <c r="I135" s="58">
        <v>0.0</v>
      </c>
      <c r="J135" s="138">
        <v>3.0</v>
      </c>
      <c r="K135" s="107">
        <f t="shared" ref="K135:AG135" si="187">J135</f>
        <v>3</v>
      </c>
      <c r="L135" s="107">
        <f t="shared" si="187"/>
        <v>3</v>
      </c>
      <c r="M135" s="107">
        <f t="shared" si="187"/>
        <v>3</v>
      </c>
      <c r="N135" s="107">
        <f t="shared" si="187"/>
        <v>3</v>
      </c>
      <c r="O135" s="107">
        <f t="shared" si="187"/>
        <v>3</v>
      </c>
      <c r="P135" s="107">
        <f t="shared" si="187"/>
        <v>3</v>
      </c>
      <c r="Q135" s="107">
        <f t="shared" si="187"/>
        <v>3</v>
      </c>
      <c r="R135" s="107">
        <f t="shared" si="187"/>
        <v>3</v>
      </c>
      <c r="S135" s="107">
        <f t="shared" si="187"/>
        <v>3</v>
      </c>
      <c r="T135" s="107">
        <f t="shared" si="187"/>
        <v>3</v>
      </c>
      <c r="U135" s="107">
        <f t="shared" si="187"/>
        <v>3</v>
      </c>
      <c r="V135" s="107">
        <f t="shared" si="187"/>
        <v>3</v>
      </c>
      <c r="W135" s="107">
        <f t="shared" si="187"/>
        <v>3</v>
      </c>
      <c r="X135" s="107">
        <f t="shared" si="187"/>
        <v>3</v>
      </c>
      <c r="Y135" s="107">
        <f t="shared" si="187"/>
        <v>3</v>
      </c>
      <c r="Z135" s="107">
        <f t="shared" si="187"/>
        <v>3</v>
      </c>
      <c r="AA135" s="107">
        <f t="shared" si="187"/>
        <v>3</v>
      </c>
      <c r="AB135" s="107">
        <f t="shared" si="187"/>
        <v>3</v>
      </c>
      <c r="AC135" s="107">
        <f t="shared" si="187"/>
        <v>3</v>
      </c>
      <c r="AD135" s="107">
        <f t="shared" si="187"/>
        <v>3</v>
      </c>
      <c r="AE135" s="107">
        <f t="shared" si="187"/>
        <v>3</v>
      </c>
      <c r="AF135" s="107">
        <f t="shared" si="187"/>
        <v>3</v>
      </c>
      <c r="AG135" s="107">
        <f t="shared" si="187"/>
        <v>3</v>
      </c>
      <c r="AH135" s="106"/>
      <c r="AI135" s="106"/>
      <c r="AJ135" s="107">
        <f t="shared" ref="AJ135:AK135" si="188">AJ132*1000/AJ134</f>
        <v>36</v>
      </c>
      <c r="AK135" s="107">
        <f t="shared" si="188"/>
        <v>36</v>
      </c>
      <c r="AL135" s="107">
        <f t="shared" ref="AL135:AN135" si="189">AK135</f>
        <v>36</v>
      </c>
      <c r="AM135" s="107">
        <f t="shared" si="189"/>
        <v>36</v>
      </c>
      <c r="AN135" s="107">
        <f t="shared" si="189"/>
        <v>36</v>
      </c>
      <c r="AO135" s="1"/>
      <c r="AP135" s="1"/>
    </row>
    <row r="136" ht="12.75" customHeight="1">
      <c r="A136" s="1"/>
      <c r="B136" s="52"/>
      <c r="C136" s="1"/>
      <c r="D136" s="1"/>
      <c r="E136" s="24"/>
      <c r="F136" s="24"/>
      <c r="G136" s="24"/>
      <c r="H136" s="24"/>
      <c r="I136" s="24"/>
      <c r="J136" s="89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4"/>
      <c r="AI136" s="4"/>
      <c r="AJ136" s="103"/>
      <c r="AK136" s="103"/>
      <c r="AL136" s="103"/>
      <c r="AM136" s="103"/>
      <c r="AN136" s="103"/>
      <c r="AO136" s="1"/>
      <c r="AP136" s="1"/>
    </row>
    <row r="137" ht="12.75" customHeight="1">
      <c r="A137" s="1"/>
      <c r="B137" s="144" t="s">
        <v>100</v>
      </c>
      <c r="C137" s="144"/>
      <c r="D137" s="144"/>
      <c r="E137" s="145">
        <f t="shared" ref="E137:I137" si="190">E114-E127-E132</f>
        <v>0</v>
      </c>
      <c r="F137" s="145">
        <f t="shared" si="190"/>
        <v>0</v>
      </c>
      <c r="G137" s="145">
        <f t="shared" si="190"/>
        <v>0</v>
      </c>
      <c r="H137" s="145">
        <f t="shared" si="190"/>
        <v>0</v>
      </c>
      <c r="I137" s="145">
        <f t="shared" si="190"/>
        <v>0</v>
      </c>
      <c r="J137" s="146">
        <f t="shared" ref="J137:AG137" si="191">J114-J117-J120-J123-J127-J132</f>
        <v>0</v>
      </c>
      <c r="K137" s="146">
        <f t="shared" si="191"/>
        <v>0</v>
      </c>
      <c r="L137" s="146">
        <f t="shared" si="191"/>
        <v>0</v>
      </c>
      <c r="M137" s="146">
        <f t="shared" si="191"/>
        <v>41.115</v>
      </c>
      <c r="N137" s="146">
        <f t="shared" si="191"/>
        <v>50.6995</v>
      </c>
      <c r="O137" s="146">
        <f t="shared" si="191"/>
        <v>37.91221667</v>
      </c>
      <c r="P137" s="146">
        <f t="shared" si="191"/>
        <v>39.50166167</v>
      </c>
      <c r="Q137" s="146">
        <f t="shared" si="191"/>
        <v>41.48771772</v>
      </c>
      <c r="R137" s="146">
        <f t="shared" si="191"/>
        <v>90.97350151</v>
      </c>
      <c r="S137" s="146">
        <f t="shared" si="191"/>
        <v>95.46670691</v>
      </c>
      <c r="T137" s="146">
        <f t="shared" si="191"/>
        <v>100.0892955</v>
      </c>
      <c r="U137" s="146">
        <f t="shared" si="191"/>
        <v>103.7287919</v>
      </c>
      <c r="V137" s="146">
        <f t="shared" si="191"/>
        <v>107.0043386</v>
      </c>
      <c r="W137" s="146">
        <f t="shared" si="191"/>
        <v>120.92254</v>
      </c>
      <c r="X137" s="146">
        <f t="shared" si="191"/>
        <v>123.5757329</v>
      </c>
      <c r="Y137" s="146">
        <f t="shared" si="191"/>
        <v>181.0912876</v>
      </c>
      <c r="Z137" s="146">
        <f t="shared" si="191"/>
        <v>188.7689157</v>
      </c>
      <c r="AA137" s="146">
        <f t="shared" si="191"/>
        <v>193.7041433</v>
      </c>
      <c r="AB137" s="146">
        <f t="shared" si="191"/>
        <v>216.7959971</v>
      </c>
      <c r="AC137" s="146">
        <f t="shared" si="191"/>
        <v>222.3281681</v>
      </c>
      <c r="AD137" s="146">
        <f t="shared" si="191"/>
        <v>226.926299</v>
      </c>
      <c r="AE137" s="146">
        <f t="shared" si="191"/>
        <v>287.1561092</v>
      </c>
      <c r="AF137" s="146">
        <f t="shared" si="191"/>
        <v>294.2956927</v>
      </c>
      <c r="AG137" s="146">
        <f t="shared" si="191"/>
        <v>300.6487801</v>
      </c>
      <c r="AH137" s="112"/>
      <c r="AI137" s="112"/>
      <c r="AJ137" s="146">
        <f t="shared" ref="AJ137:AN137" si="192">AJ114-AJ117-AJ120-AJ123-AJ127-AJ132</f>
        <v>600.9743918</v>
      </c>
      <c r="AK137" s="146">
        <f t="shared" si="192"/>
        <v>2463.218004</v>
      </c>
      <c r="AL137" s="146">
        <f t="shared" si="192"/>
        <v>7741.819132</v>
      </c>
      <c r="AM137" s="146">
        <f t="shared" si="192"/>
        <v>17004.31351</v>
      </c>
      <c r="AN137" s="146">
        <f t="shared" si="192"/>
        <v>36085.09207</v>
      </c>
      <c r="AO137" s="1"/>
      <c r="AP137" s="1"/>
    </row>
    <row r="138" ht="12.75" customHeight="1">
      <c r="A138" s="1"/>
      <c r="B138" s="52" t="s">
        <v>101</v>
      </c>
      <c r="C138" s="1"/>
      <c r="D138" s="1"/>
      <c r="E138" s="128">
        <f t="shared" ref="E138:AG138" si="193">IFERROR(E137/E$114,0)</f>
        <v>0</v>
      </c>
      <c r="F138" s="128">
        <f t="shared" si="193"/>
        <v>0</v>
      </c>
      <c r="G138" s="128">
        <f t="shared" si="193"/>
        <v>0</v>
      </c>
      <c r="H138" s="128">
        <f t="shared" si="193"/>
        <v>0</v>
      </c>
      <c r="I138" s="128">
        <f t="shared" si="193"/>
        <v>0</v>
      </c>
      <c r="J138" s="129">
        <f t="shared" si="193"/>
        <v>0</v>
      </c>
      <c r="K138" s="129">
        <f t="shared" si="193"/>
        <v>0</v>
      </c>
      <c r="L138" s="129">
        <f t="shared" si="193"/>
        <v>0</v>
      </c>
      <c r="M138" s="129">
        <f t="shared" si="193"/>
        <v>0.3363190184</v>
      </c>
      <c r="N138" s="129">
        <f t="shared" si="193"/>
        <v>0.4007073701</v>
      </c>
      <c r="O138" s="129">
        <f t="shared" si="193"/>
        <v>0.4230211907</v>
      </c>
      <c r="P138" s="129">
        <f t="shared" si="193"/>
        <v>0.4309573852</v>
      </c>
      <c r="Q138" s="129">
        <f t="shared" si="193"/>
        <v>0.443746314</v>
      </c>
      <c r="R138" s="129">
        <f t="shared" si="193"/>
        <v>0.4184713731</v>
      </c>
      <c r="S138" s="129">
        <f t="shared" si="193"/>
        <v>0.4278038541</v>
      </c>
      <c r="T138" s="129">
        <f t="shared" si="193"/>
        <v>0.4383348845</v>
      </c>
      <c r="U138" s="129">
        <f t="shared" si="193"/>
        <v>0.4451768452</v>
      </c>
      <c r="V138" s="129">
        <f t="shared" si="193"/>
        <v>0.4511044661</v>
      </c>
      <c r="W138" s="129">
        <f t="shared" si="193"/>
        <v>0.5017851197</v>
      </c>
      <c r="X138" s="129">
        <f t="shared" si="193"/>
        <v>0.5056574984</v>
      </c>
      <c r="Y138" s="129">
        <f t="shared" si="193"/>
        <v>0.4898362376</v>
      </c>
      <c r="Z138" s="129">
        <f t="shared" si="193"/>
        <v>0.5010750201</v>
      </c>
      <c r="AA138" s="129">
        <f t="shared" si="193"/>
        <v>0.5056822383</v>
      </c>
      <c r="AB138" s="129">
        <f t="shared" si="193"/>
        <v>0.5047641894</v>
      </c>
      <c r="AC138" s="129">
        <f t="shared" si="193"/>
        <v>0.5098689833</v>
      </c>
      <c r="AD138" s="129">
        <f t="shared" si="193"/>
        <v>0.5134722243</v>
      </c>
      <c r="AE138" s="129">
        <f t="shared" si="193"/>
        <v>0.5042247919</v>
      </c>
      <c r="AF138" s="129">
        <f t="shared" si="193"/>
        <v>0.5086779203</v>
      </c>
      <c r="AG138" s="129">
        <f t="shared" si="193"/>
        <v>0.5124446363</v>
      </c>
      <c r="AH138" s="4"/>
      <c r="AI138" s="4"/>
      <c r="AJ138" s="129">
        <f t="shared" ref="AJ138:AN138" si="194">IFERROR(AJ137/AJ$114,0)</f>
        <v>0.4216039575</v>
      </c>
      <c r="AK138" s="129">
        <f t="shared" si="194"/>
        <v>0.5032834154</v>
      </c>
      <c r="AL138" s="129">
        <f t="shared" si="194"/>
        <v>0.6034517838</v>
      </c>
      <c r="AM138" s="129">
        <f t="shared" si="194"/>
        <v>0.6148539524</v>
      </c>
      <c r="AN138" s="129">
        <f t="shared" si="194"/>
        <v>0.6157445872</v>
      </c>
      <c r="AO138" s="1"/>
      <c r="AP138" s="1"/>
    </row>
    <row r="139" ht="12.75" customHeight="1">
      <c r="A139" s="1"/>
      <c r="B139" s="1"/>
      <c r="C139" s="1"/>
      <c r="D139" s="1"/>
      <c r="E139" s="24"/>
      <c r="F139" s="24"/>
      <c r="G139" s="24"/>
      <c r="H139" s="24"/>
      <c r="I139" s="2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4"/>
      <c r="AI139" s="4"/>
      <c r="AJ139" s="1"/>
      <c r="AK139" s="1"/>
      <c r="AL139" s="1"/>
      <c r="AM139" s="1"/>
      <c r="AN139" s="1"/>
      <c r="AO139" s="1"/>
      <c r="AP139" s="1"/>
    </row>
    <row r="140" ht="12.75" customHeight="1">
      <c r="A140" s="1"/>
      <c r="B140" s="1" t="s">
        <v>102</v>
      </c>
      <c r="C140" s="1"/>
      <c r="D140" s="1"/>
      <c r="E140" s="26">
        <v>0.0</v>
      </c>
      <c r="F140" s="26">
        <v>0.0</v>
      </c>
      <c r="G140" s="26">
        <v>0.0</v>
      </c>
      <c r="H140" s="26">
        <v>0.0</v>
      </c>
      <c r="I140" s="26">
        <v>0.0</v>
      </c>
      <c r="J140" s="27">
        <f t="shared" ref="J140:AG140" si="195">J142*AVERAGE(J9,J12)</f>
        <v>18.75</v>
      </c>
      <c r="K140" s="27">
        <f t="shared" si="195"/>
        <v>37.5</v>
      </c>
      <c r="L140" s="27">
        <f t="shared" si="195"/>
        <v>37.5</v>
      </c>
      <c r="M140" s="27">
        <f t="shared" si="195"/>
        <v>37.5</v>
      </c>
      <c r="N140" s="27">
        <f t="shared" si="195"/>
        <v>37.5</v>
      </c>
      <c r="O140" s="27">
        <f t="shared" si="195"/>
        <v>50</v>
      </c>
      <c r="P140" s="27">
        <f t="shared" si="195"/>
        <v>62.5</v>
      </c>
      <c r="Q140" s="27">
        <f t="shared" si="195"/>
        <v>62.5</v>
      </c>
      <c r="R140" s="27">
        <f t="shared" si="195"/>
        <v>62.5</v>
      </c>
      <c r="S140" s="27">
        <f t="shared" si="195"/>
        <v>68.75</v>
      </c>
      <c r="T140" s="27">
        <f t="shared" si="195"/>
        <v>75</v>
      </c>
      <c r="U140" s="27">
        <f t="shared" si="195"/>
        <v>75</v>
      </c>
      <c r="V140" s="27">
        <f t="shared" si="195"/>
        <v>90.125</v>
      </c>
      <c r="W140" s="27">
        <f t="shared" si="195"/>
        <v>103</v>
      </c>
      <c r="X140" s="27">
        <f t="shared" si="195"/>
        <v>103</v>
      </c>
      <c r="Y140" s="27">
        <f t="shared" si="195"/>
        <v>115.875</v>
      </c>
      <c r="Z140" s="27">
        <f t="shared" si="195"/>
        <v>128.75</v>
      </c>
      <c r="AA140" s="27">
        <f t="shared" si="195"/>
        <v>128.75</v>
      </c>
      <c r="AB140" s="27">
        <f t="shared" si="195"/>
        <v>141.625</v>
      </c>
      <c r="AC140" s="27">
        <f t="shared" si="195"/>
        <v>154.5</v>
      </c>
      <c r="AD140" s="27">
        <f t="shared" si="195"/>
        <v>154.5</v>
      </c>
      <c r="AE140" s="27">
        <f t="shared" si="195"/>
        <v>167.375</v>
      </c>
      <c r="AF140" s="27">
        <f t="shared" si="195"/>
        <v>180.25</v>
      </c>
      <c r="AG140" s="27">
        <f t="shared" si="195"/>
        <v>180.25</v>
      </c>
      <c r="AH140" s="4"/>
      <c r="AI140" s="4"/>
      <c r="AJ140" s="27">
        <f>SUM(J140:U140)</f>
        <v>625</v>
      </c>
      <c r="AK140" s="27">
        <f>SUM(V140:AG140)</f>
        <v>1648</v>
      </c>
      <c r="AL140" s="27">
        <f t="shared" ref="AL140:AN140" si="196">AL142*AVERAGE(AL9,AL12)</f>
        <v>3023.565</v>
      </c>
      <c r="AM140" s="27">
        <f t="shared" si="196"/>
        <v>5081.18055</v>
      </c>
      <c r="AN140" s="27">
        <f t="shared" si="196"/>
        <v>8610.142397</v>
      </c>
      <c r="AO140" s="1"/>
      <c r="AP140" s="1"/>
    </row>
    <row r="141" ht="12.75" customHeight="1">
      <c r="A141" s="1"/>
      <c r="B141" s="52" t="s">
        <v>103</v>
      </c>
      <c r="C141" s="1"/>
      <c r="D141" s="1"/>
      <c r="E141" s="128">
        <f t="shared" ref="E141:AG141" si="197">IFERROR(E140/E$114,0)</f>
        <v>0</v>
      </c>
      <c r="F141" s="128">
        <f t="shared" si="197"/>
        <v>0</v>
      </c>
      <c r="G141" s="128">
        <f t="shared" si="197"/>
        <v>0</v>
      </c>
      <c r="H141" s="128">
        <f t="shared" si="197"/>
        <v>0</v>
      </c>
      <c r="I141" s="128">
        <f t="shared" si="197"/>
        <v>0</v>
      </c>
      <c r="J141" s="129">
        <f t="shared" si="197"/>
        <v>0</v>
      </c>
      <c r="K141" s="129">
        <f t="shared" si="197"/>
        <v>0</v>
      </c>
      <c r="L141" s="129">
        <f t="shared" si="197"/>
        <v>0</v>
      </c>
      <c r="M141" s="129">
        <f t="shared" si="197"/>
        <v>0.3067484663</v>
      </c>
      <c r="N141" s="129">
        <f t="shared" si="197"/>
        <v>0.2963841138</v>
      </c>
      <c r="O141" s="129">
        <f t="shared" si="197"/>
        <v>0.5578956177</v>
      </c>
      <c r="P141" s="129">
        <f t="shared" si="197"/>
        <v>0.6818659124</v>
      </c>
      <c r="Q141" s="129">
        <f t="shared" si="197"/>
        <v>0.668490487</v>
      </c>
      <c r="R141" s="129">
        <f t="shared" si="197"/>
        <v>0.2874953738</v>
      </c>
      <c r="S141" s="129">
        <f t="shared" si="197"/>
        <v>0.3080813816</v>
      </c>
      <c r="T141" s="129">
        <f t="shared" si="197"/>
        <v>0.3284578653</v>
      </c>
      <c r="U141" s="129">
        <f t="shared" si="197"/>
        <v>0.3218803843</v>
      </c>
      <c r="V141" s="129">
        <f t="shared" si="197"/>
        <v>0.3799452484</v>
      </c>
      <c r="W141" s="129">
        <f t="shared" si="197"/>
        <v>0.4274130143</v>
      </c>
      <c r="X141" s="129">
        <f t="shared" si="197"/>
        <v>0.4214639973</v>
      </c>
      <c r="Y141" s="129">
        <f t="shared" si="197"/>
        <v>0.313431832</v>
      </c>
      <c r="Z141" s="129">
        <f t="shared" si="197"/>
        <v>0.341758645</v>
      </c>
      <c r="AA141" s="129">
        <f t="shared" si="197"/>
        <v>0.3361135548</v>
      </c>
      <c r="AB141" s="129">
        <f t="shared" si="197"/>
        <v>0.3297442264</v>
      </c>
      <c r="AC141" s="129">
        <f t="shared" si="197"/>
        <v>0.3543174875</v>
      </c>
      <c r="AD141" s="129">
        <f t="shared" si="197"/>
        <v>0.3495912946</v>
      </c>
      <c r="AE141" s="129">
        <f t="shared" si="197"/>
        <v>0.2938980639</v>
      </c>
      <c r="AF141" s="129">
        <f t="shared" si="197"/>
        <v>0.3115546622</v>
      </c>
      <c r="AG141" s="129">
        <f t="shared" si="197"/>
        <v>0.3072294045</v>
      </c>
      <c r="AH141" s="4"/>
      <c r="AI141" s="4"/>
      <c r="AJ141" s="129">
        <f t="shared" ref="AJ141:AN141" si="198">IFERROR(AJ140/AJ$114,0)</f>
        <v>0.438458738</v>
      </c>
      <c r="AK141" s="129">
        <f t="shared" si="198"/>
        <v>0.3367184988</v>
      </c>
      <c r="AL141" s="129">
        <f t="shared" si="198"/>
        <v>0.2356779022</v>
      </c>
      <c r="AM141" s="129">
        <f t="shared" si="198"/>
        <v>0.1837289074</v>
      </c>
      <c r="AN141" s="129">
        <f t="shared" si="198"/>
        <v>0.146920744</v>
      </c>
      <c r="AO141" s="1"/>
      <c r="AP141" s="1"/>
    </row>
    <row r="142" ht="12.75" customHeight="1">
      <c r="A142" s="1"/>
      <c r="B142" s="52" t="s">
        <v>104</v>
      </c>
      <c r="C142" s="1"/>
      <c r="D142" s="1"/>
      <c r="E142" s="58">
        <v>0.0</v>
      </c>
      <c r="F142" s="58">
        <v>0.0</v>
      </c>
      <c r="G142" s="58">
        <v>0.0</v>
      </c>
      <c r="H142" s="58">
        <v>0.0</v>
      </c>
      <c r="I142" s="58">
        <v>0.0</v>
      </c>
      <c r="J142" s="138">
        <v>12.5</v>
      </c>
      <c r="K142" s="107">
        <f t="shared" ref="K142:U142" si="199">J142</f>
        <v>12.5</v>
      </c>
      <c r="L142" s="107">
        <f t="shared" si="199"/>
        <v>12.5</v>
      </c>
      <c r="M142" s="107">
        <f t="shared" si="199"/>
        <v>12.5</v>
      </c>
      <c r="N142" s="107">
        <f t="shared" si="199"/>
        <v>12.5</v>
      </c>
      <c r="O142" s="107">
        <f t="shared" si="199"/>
        <v>12.5</v>
      </c>
      <c r="P142" s="107">
        <f t="shared" si="199"/>
        <v>12.5</v>
      </c>
      <c r="Q142" s="107">
        <f t="shared" si="199"/>
        <v>12.5</v>
      </c>
      <c r="R142" s="107">
        <f t="shared" si="199"/>
        <v>12.5</v>
      </c>
      <c r="S142" s="107">
        <f t="shared" si="199"/>
        <v>12.5</v>
      </c>
      <c r="T142" s="107">
        <f t="shared" si="199"/>
        <v>12.5</v>
      </c>
      <c r="U142" s="107">
        <f t="shared" si="199"/>
        <v>12.5</v>
      </c>
      <c r="V142" s="138">
        <f>J142*(1+3%)</f>
        <v>12.875</v>
      </c>
      <c r="W142" s="107">
        <f t="shared" ref="W142:AG142" si="200">V142</f>
        <v>12.875</v>
      </c>
      <c r="X142" s="107">
        <f t="shared" si="200"/>
        <v>12.875</v>
      </c>
      <c r="Y142" s="107">
        <f t="shared" si="200"/>
        <v>12.875</v>
      </c>
      <c r="Z142" s="107">
        <f t="shared" si="200"/>
        <v>12.875</v>
      </c>
      <c r="AA142" s="107">
        <f t="shared" si="200"/>
        <v>12.875</v>
      </c>
      <c r="AB142" s="107">
        <f t="shared" si="200"/>
        <v>12.875</v>
      </c>
      <c r="AC142" s="107">
        <f t="shared" si="200"/>
        <v>12.875</v>
      </c>
      <c r="AD142" s="107">
        <f t="shared" si="200"/>
        <v>12.875</v>
      </c>
      <c r="AE142" s="107">
        <f t="shared" si="200"/>
        <v>12.875</v>
      </c>
      <c r="AF142" s="107">
        <f t="shared" si="200"/>
        <v>12.875</v>
      </c>
      <c r="AG142" s="107">
        <f t="shared" si="200"/>
        <v>12.875</v>
      </c>
      <c r="AH142" s="4"/>
      <c r="AI142" s="4"/>
      <c r="AJ142" s="107">
        <f>SUM(J142:U142)</f>
        <v>150</v>
      </c>
      <c r="AK142" s="107">
        <f>SUM(V142:AG142)</f>
        <v>154.5</v>
      </c>
      <c r="AL142" s="107">
        <f>V142*(1+3%)*12</f>
        <v>159.135</v>
      </c>
      <c r="AM142" s="107">
        <f t="shared" ref="AM142:AN142" si="201">AL142*(1+3%)</f>
        <v>163.90905</v>
      </c>
      <c r="AN142" s="107">
        <f t="shared" si="201"/>
        <v>168.8263215</v>
      </c>
      <c r="AO142" s="1"/>
      <c r="AP142" s="1"/>
    </row>
    <row r="143" ht="12.75" customHeight="1">
      <c r="A143" s="1"/>
      <c r="B143" s="1"/>
      <c r="C143" s="1"/>
      <c r="D143" s="1"/>
      <c r="E143" s="24"/>
      <c r="F143" s="24"/>
      <c r="G143" s="24"/>
      <c r="H143" s="24"/>
      <c r="I143" s="2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4"/>
      <c r="AI143" s="4"/>
      <c r="AJ143" s="1"/>
      <c r="AK143" s="1"/>
      <c r="AL143" s="1"/>
      <c r="AM143" s="1"/>
      <c r="AN143" s="1"/>
      <c r="AO143" s="1"/>
      <c r="AP143" s="1"/>
    </row>
    <row r="144" ht="12.75" customHeight="1">
      <c r="A144" s="1"/>
      <c r="B144" s="1" t="s">
        <v>105</v>
      </c>
      <c r="C144" s="1"/>
      <c r="D144" s="1"/>
      <c r="E144" s="26">
        <v>0.0</v>
      </c>
      <c r="F144" s="26">
        <v>0.0</v>
      </c>
      <c r="G144" s="26">
        <v>0.0</v>
      </c>
      <c r="H144" s="26">
        <v>0.0</v>
      </c>
      <c r="I144" s="26">
        <v>0.0</v>
      </c>
      <c r="J144" s="26">
        <v>0.0</v>
      </c>
      <c r="K144" s="26">
        <v>0.0</v>
      </c>
      <c r="L144" s="147">
        <v>100.0</v>
      </c>
      <c r="M144" s="27">
        <f t="shared" ref="M144:AG144" si="202">M114*M145</f>
        <v>12.225</v>
      </c>
      <c r="N144" s="27">
        <f t="shared" si="202"/>
        <v>12.6525</v>
      </c>
      <c r="O144" s="27">
        <f t="shared" si="202"/>
        <v>8.96225</v>
      </c>
      <c r="P144" s="27">
        <f t="shared" si="202"/>
        <v>9.166025</v>
      </c>
      <c r="Q144" s="27">
        <f t="shared" si="202"/>
        <v>9.3494225</v>
      </c>
      <c r="R144" s="27">
        <f t="shared" si="202"/>
        <v>21.73948025</v>
      </c>
      <c r="S144" s="27">
        <f t="shared" si="202"/>
        <v>22.31553223</v>
      </c>
      <c r="T144" s="27">
        <f t="shared" si="202"/>
        <v>22.833979</v>
      </c>
      <c r="U144" s="27">
        <f t="shared" si="202"/>
        <v>23.3005811</v>
      </c>
      <c r="V144" s="27">
        <f t="shared" si="202"/>
        <v>23.72052299</v>
      </c>
      <c r="W144" s="27">
        <f t="shared" si="202"/>
        <v>24.09847069</v>
      </c>
      <c r="X144" s="27">
        <f t="shared" si="202"/>
        <v>24.43862362</v>
      </c>
      <c r="Y144" s="27">
        <f t="shared" si="202"/>
        <v>36.96976126</v>
      </c>
      <c r="Z144" s="27">
        <f t="shared" si="202"/>
        <v>37.67278514</v>
      </c>
      <c r="AA144" s="27">
        <f t="shared" si="202"/>
        <v>38.30550662</v>
      </c>
      <c r="AB144" s="27">
        <f t="shared" si="202"/>
        <v>42.94995596</v>
      </c>
      <c r="AC144" s="27">
        <f t="shared" si="202"/>
        <v>43.60496036</v>
      </c>
      <c r="AD144" s="27">
        <f t="shared" si="202"/>
        <v>44.19446433</v>
      </c>
      <c r="AE144" s="27">
        <f t="shared" si="202"/>
        <v>56.95001789</v>
      </c>
      <c r="AF144" s="27">
        <f t="shared" si="202"/>
        <v>57.8550161</v>
      </c>
      <c r="AG144" s="27">
        <f t="shared" si="202"/>
        <v>58.66951449</v>
      </c>
      <c r="AH144" s="4"/>
      <c r="AI144" s="4"/>
      <c r="AJ144" s="27">
        <f>SUM(J144:U144)</f>
        <v>242.5447701</v>
      </c>
      <c r="AK144" s="27">
        <f>SUM(V144:AG144)</f>
        <v>489.4295995</v>
      </c>
      <c r="AL144" s="27">
        <f t="shared" ref="AL144:AN144" si="203">AL114*AL145</f>
        <v>1282.92257</v>
      </c>
      <c r="AM144" s="27">
        <f t="shared" si="203"/>
        <v>2765.585787</v>
      </c>
      <c r="AN144" s="27">
        <f t="shared" si="203"/>
        <v>5860.399397</v>
      </c>
      <c r="AO144" s="1"/>
      <c r="AP144" s="1"/>
    </row>
    <row r="145" ht="12.75" customHeight="1">
      <c r="A145" s="1"/>
      <c r="B145" s="52" t="s">
        <v>103</v>
      </c>
      <c r="C145" s="1"/>
      <c r="D145" s="1"/>
      <c r="E145" s="128">
        <f t="shared" ref="E145:L145" si="204">IFERROR(E144/E$114,0)</f>
        <v>0</v>
      </c>
      <c r="F145" s="128">
        <f t="shared" si="204"/>
        <v>0</v>
      </c>
      <c r="G145" s="128">
        <f t="shared" si="204"/>
        <v>0</v>
      </c>
      <c r="H145" s="128">
        <f t="shared" si="204"/>
        <v>0</v>
      </c>
      <c r="I145" s="128">
        <f t="shared" si="204"/>
        <v>0</v>
      </c>
      <c r="J145" s="129">
        <f t="shared" si="204"/>
        <v>0</v>
      </c>
      <c r="K145" s="129">
        <f t="shared" si="204"/>
        <v>0</v>
      </c>
      <c r="L145" s="129">
        <f t="shared" si="204"/>
        <v>0</v>
      </c>
      <c r="M145" s="137">
        <v>0.1</v>
      </c>
      <c r="N145" s="129">
        <f t="shared" ref="N145:AG145" si="205">M145</f>
        <v>0.1</v>
      </c>
      <c r="O145" s="129">
        <f t="shared" si="205"/>
        <v>0.1</v>
      </c>
      <c r="P145" s="129">
        <f t="shared" si="205"/>
        <v>0.1</v>
      </c>
      <c r="Q145" s="129">
        <f t="shared" si="205"/>
        <v>0.1</v>
      </c>
      <c r="R145" s="129">
        <f t="shared" si="205"/>
        <v>0.1</v>
      </c>
      <c r="S145" s="129">
        <f t="shared" si="205"/>
        <v>0.1</v>
      </c>
      <c r="T145" s="129">
        <f t="shared" si="205"/>
        <v>0.1</v>
      </c>
      <c r="U145" s="129">
        <f t="shared" si="205"/>
        <v>0.1</v>
      </c>
      <c r="V145" s="129">
        <f t="shared" si="205"/>
        <v>0.1</v>
      </c>
      <c r="W145" s="129">
        <f t="shared" si="205"/>
        <v>0.1</v>
      </c>
      <c r="X145" s="129">
        <f t="shared" si="205"/>
        <v>0.1</v>
      </c>
      <c r="Y145" s="129">
        <f t="shared" si="205"/>
        <v>0.1</v>
      </c>
      <c r="Z145" s="129">
        <f t="shared" si="205"/>
        <v>0.1</v>
      </c>
      <c r="AA145" s="129">
        <f t="shared" si="205"/>
        <v>0.1</v>
      </c>
      <c r="AB145" s="129">
        <f t="shared" si="205"/>
        <v>0.1</v>
      </c>
      <c r="AC145" s="129">
        <f t="shared" si="205"/>
        <v>0.1</v>
      </c>
      <c r="AD145" s="129">
        <f t="shared" si="205"/>
        <v>0.1</v>
      </c>
      <c r="AE145" s="129">
        <f t="shared" si="205"/>
        <v>0.1</v>
      </c>
      <c r="AF145" s="129">
        <f t="shared" si="205"/>
        <v>0.1</v>
      </c>
      <c r="AG145" s="129">
        <f t="shared" si="205"/>
        <v>0.1</v>
      </c>
      <c r="AH145" s="4"/>
      <c r="AI145" s="4"/>
      <c r="AJ145" s="129">
        <f t="shared" ref="AJ145:AK145" si="206">IFERROR(AJ144/AJ$114,0)</f>
        <v>0.1701533981</v>
      </c>
      <c r="AK145" s="129">
        <f t="shared" si="206"/>
        <v>0.1</v>
      </c>
      <c r="AL145" s="137">
        <v>0.1</v>
      </c>
      <c r="AM145" s="137">
        <v>0.1</v>
      </c>
      <c r="AN145" s="137">
        <v>0.1</v>
      </c>
      <c r="AO145" s="1"/>
      <c r="AP145" s="1"/>
    </row>
    <row r="146" ht="12.75" customHeight="1">
      <c r="A146" s="1"/>
      <c r="B146" s="1"/>
      <c r="C146" s="1"/>
      <c r="D146" s="1"/>
      <c r="E146" s="24"/>
      <c r="F146" s="24"/>
      <c r="G146" s="24"/>
      <c r="H146" s="24"/>
      <c r="I146" s="2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4"/>
      <c r="AI146" s="4"/>
      <c r="AJ146" s="1"/>
      <c r="AK146" s="1"/>
      <c r="AL146" s="1"/>
      <c r="AM146" s="1"/>
      <c r="AN146" s="1"/>
      <c r="AO146" s="1"/>
      <c r="AP146" s="1"/>
    </row>
    <row r="147" ht="12.75" customHeight="1">
      <c r="A147" s="1"/>
      <c r="B147" s="1" t="s">
        <v>106</v>
      </c>
      <c r="C147" s="1"/>
      <c r="D147" s="1"/>
      <c r="E147" s="59">
        <v>83.33333333333334</v>
      </c>
      <c r="F147" s="59">
        <v>83.33333333333334</v>
      </c>
      <c r="G147" s="59">
        <v>83.33333333333334</v>
      </c>
      <c r="H147" s="59">
        <v>83.33333333333334</v>
      </c>
      <c r="I147" s="59">
        <v>83.33333333333334</v>
      </c>
      <c r="J147" s="16">
        <f t="shared" ref="J147:AG147" si="207">J149*AVERAGE(I150:J150)</f>
        <v>166.6666667</v>
      </c>
      <c r="K147" s="16">
        <f t="shared" si="207"/>
        <v>166.6666667</v>
      </c>
      <c r="L147" s="16">
        <f t="shared" si="207"/>
        <v>166.6666667</v>
      </c>
      <c r="M147" s="16">
        <f t="shared" si="207"/>
        <v>166.6666667</v>
      </c>
      <c r="N147" s="16">
        <f t="shared" si="207"/>
        <v>166.6666667</v>
      </c>
      <c r="O147" s="16">
        <f t="shared" si="207"/>
        <v>166.6666667</v>
      </c>
      <c r="P147" s="16">
        <f t="shared" si="207"/>
        <v>166.6666667</v>
      </c>
      <c r="Q147" s="16">
        <f t="shared" si="207"/>
        <v>166.6666667</v>
      </c>
      <c r="R147" s="16">
        <f t="shared" si="207"/>
        <v>166.6666667</v>
      </c>
      <c r="S147" s="16">
        <f t="shared" si="207"/>
        <v>166.6666667</v>
      </c>
      <c r="T147" s="16">
        <f t="shared" si="207"/>
        <v>166.6666667</v>
      </c>
      <c r="U147" s="16">
        <f t="shared" si="207"/>
        <v>166.6666667</v>
      </c>
      <c r="V147" s="16">
        <f t="shared" si="207"/>
        <v>188.8333333</v>
      </c>
      <c r="W147" s="16">
        <f t="shared" si="207"/>
        <v>206</v>
      </c>
      <c r="X147" s="16">
        <f t="shared" si="207"/>
        <v>206</v>
      </c>
      <c r="Y147" s="16">
        <f t="shared" si="207"/>
        <v>206</v>
      </c>
      <c r="Z147" s="16">
        <f t="shared" si="207"/>
        <v>206</v>
      </c>
      <c r="AA147" s="16">
        <f t="shared" si="207"/>
        <v>206</v>
      </c>
      <c r="AB147" s="16">
        <f t="shared" si="207"/>
        <v>206</v>
      </c>
      <c r="AC147" s="16">
        <f t="shared" si="207"/>
        <v>206</v>
      </c>
      <c r="AD147" s="16">
        <f t="shared" si="207"/>
        <v>206</v>
      </c>
      <c r="AE147" s="16">
        <f t="shared" si="207"/>
        <v>206</v>
      </c>
      <c r="AF147" s="16">
        <f t="shared" si="207"/>
        <v>206</v>
      </c>
      <c r="AG147" s="16">
        <f t="shared" si="207"/>
        <v>206</v>
      </c>
      <c r="AH147" s="4"/>
      <c r="AI147" s="4"/>
      <c r="AJ147" s="27">
        <f>SUM(J147:U147)</f>
        <v>2000</v>
      </c>
      <c r="AK147" s="27">
        <f>SUM(V147:AG147)</f>
        <v>2454.833333</v>
      </c>
      <c r="AL147" s="16">
        <f t="shared" ref="AL147:AN147" si="208">AL149*AVERAGE(AK150:AL150)</f>
        <v>3386.039167</v>
      </c>
      <c r="AM147" s="16">
        <f t="shared" si="208"/>
        <v>4917.2715</v>
      </c>
      <c r="AN147" s="16">
        <f t="shared" si="208"/>
        <v>6190.298455</v>
      </c>
      <c r="AO147" s="1"/>
      <c r="AP147" s="1"/>
    </row>
    <row r="148" ht="12.75" customHeight="1">
      <c r="A148" s="1"/>
      <c r="B148" s="52" t="s">
        <v>103</v>
      </c>
      <c r="C148" s="1"/>
      <c r="D148" s="1"/>
      <c r="E148" s="128">
        <f t="shared" ref="E148:AG148" si="209">IFERROR(E147/E$114,0)</f>
        <v>0</v>
      </c>
      <c r="F148" s="128">
        <f t="shared" si="209"/>
        <v>0</v>
      </c>
      <c r="G148" s="128">
        <f t="shared" si="209"/>
        <v>0</v>
      </c>
      <c r="H148" s="128">
        <f t="shared" si="209"/>
        <v>0</v>
      </c>
      <c r="I148" s="128">
        <f t="shared" si="209"/>
        <v>0</v>
      </c>
      <c r="J148" s="129">
        <f t="shared" si="209"/>
        <v>0</v>
      </c>
      <c r="K148" s="129">
        <f t="shared" si="209"/>
        <v>0</v>
      </c>
      <c r="L148" s="129">
        <f t="shared" si="209"/>
        <v>0</v>
      </c>
      <c r="M148" s="129">
        <f t="shared" si="209"/>
        <v>1.363326517</v>
      </c>
      <c r="N148" s="129">
        <f t="shared" si="209"/>
        <v>1.317262728</v>
      </c>
      <c r="O148" s="129">
        <f t="shared" si="209"/>
        <v>1.859652059</v>
      </c>
      <c r="P148" s="129">
        <f t="shared" si="209"/>
        <v>1.8183091</v>
      </c>
      <c r="Q148" s="129">
        <f t="shared" si="209"/>
        <v>1.782641299</v>
      </c>
      <c r="R148" s="129">
        <f t="shared" si="209"/>
        <v>0.76665433</v>
      </c>
      <c r="S148" s="129">
        <f t="shared" si="209"/>
        <v>0.7468639555</v>
      </c>
      <c r="T148" s="129">
        <f t="shared" si="209"/>
        <v>0.7299063674</v>
      </c>
      <c r="U148" s="129">
        <f t="shared" si="209"/>
        <v>0.7152897429</v>
      </c>
      <c r="V148" s="129">
        <f t="shared" si="209"/>
        <v>0.7960757585</v>
      </c>
      <c r="W148" s="129">
        <f t="shared" si="209"/>
        <v>0.8548260287</v>
      </c>
      <c r="X148" s="129">
        <f t="shared" si="209"/>
        <v>0.8429279945</v>
      </c>
      <c r="Y148" s="129">
        <f t="shared" si="209"/>
        <v>0.5572121457</v>
      </c>
      <c r="Z148" s="129">
        <f t="shared" si="209"/>
        <v>0.546813832</v>
      </c>
      <c r="AA148" s="129">
        <f t="shared" si="209"/>
        <v>0.5377816877</v>
      </c>
      <c r="AB148" s="129">
        <f t="shared" si="209"/>
        <v>0.4796279656</v>
      </c>
      <c r="AC148" s="129">
        <f t="shared" si="209"/>
        <v>0.4724233167</v>
      </c>
      <c r="AD148" s="129">
        <f t="shared" si="209"/>
        <v>0.4661217262</v>
      </c>
      <c r="AE148" s="129">
        <f t="shared" si="209"/>
        <v>0.3617206941</v>
      </c>
      <c r="AF148" s="129">
        <f t="shared" si="209"/>
        <v>0.3560624711</v>
      </c>
      <c r="AG148" s="129">
        <f t="shared" si="209"/>
        <v>0.3511193194</v>
      </c>
      <c r="AH148" s="4"/>
      <c r="AI148" s="4"/>
      <c r="AJ148" s="129">
        <f t="shared" ref="AJ148:AN148" si="210">IFERROR(AJ147/AJ$114,0)</f>
        <v>1.403067962</v>
      </c>
      <c r="AK148" s="129">
        <f t="shared" si="210"/>
        <v>0.5015702638</v>
      </c>
      <c r="AL148" s="129">
        <f t="shared" si="210"/>
        <v>0.2639316858</v>
      </c>
      <c r="AM148" s="129">
        <f t="shared" si="210"/>
        <v>0.1778021685</v>
      </c>
      <c r="AN148" s="129">
        <f t="shared" si="210"/>
        <v>0.1056292931</v>
      </c>
      <c r="AO148" s="1"/>
      <c r="AP148" s="1"/>
    </row>
    <row r="149" ht="12.75" customHeight="1">
      <c r="A149" s="1"/>
      <c r="B149" s="52" t="s">
        <v>107</v>
      </c>
      <c r="C149" s="14"/>
      <c r="D149" s="14"/>
      <c r="E149" s="148">
        <f t="shared" ref="E149:I149" si="211">E147/E150</f>
        <v>8.333333333</v>
      </c>
      <c r="F149" s="148">
        <f t="shared" si="211"/>
        <v>8.333333333</v>
      </c>
      <c r="G149" s="148">
        <f t="shared" si="211"/>
        <v>8.333333333</v>
      </c>
      <c r="H149" s="148">
        <f t="shared" si="211"/>
        <v>8.333333333</v>
      </c>
      <c r="I149" s="148">
        <f t="shared" si="211"/>
        <v>8.333333333</v>
      </c>
      <c r="J149" s="138">
        <v>16.666666666666668</v>
      </c>
      <c r="K149" s="107">
        <f t="shared" ref="K149:U149" si="212">J149</f>
        <v>16.66666667</v>
      </c>
      <c r="L149" s="107">
        <f t="shared" si="212"/>
        <v>16.66666667</v>
      </c>
      <c r="M149" s="107">
        <f t="shared" si="212"/>
        <v>16.66666667</v>
      </c>
      <c r="N149" s="107">
        <f t="shared" si="212"/>
        <v>16.66666667</v>
      </c>
      <c r="O149" s="107">
        <f t="shared" si="212"/>
        <v>16.66666667</v>
      </c>
      <c r="P149" s="107">
        <f t="shared" si="212"/>
        <v>16.66666667</v>
      </c>
      <c r="Q149" s="107">
        <f t="shared" si="212"/>
        <v>16.66666667</v>
      </c>
      <c r="R149" s="107">
        <f t="shared" si="212"/>
        <v>16.66666667</v>
      </c>
      <c r="S149" s="107">
        <f t="shared" si="212"/>
        <v>16.66666667</v>
      </c>
      <c r="T149" s="107">
        <f t="shared" si="212"/>
        <v>16.66666667</v>
      </c>
      <c r="U149" s="107">
        <f t="shared" si="212"/>
        <v>16.66666667</v>
      </c>
      <c r="V149" s="138">
        <f>J149*(1+3%)</f>
        <v>17.16666667</v>
      </c>
      <c r="W149" s="107">
        <f t="shared" ref="W149:AG149" si="213">V149</f>
        <v>17.16666667</v>
      </c>
      <c r="X149" s="107">
        <f t="shared" si="213"/>
        <v>17.16666667</v>
      </c>
      <c r="Y149" s="107">
        <f t="shared" si="213"/>
        <v>17.16666667</v>
      </c>
      <c r="Z149" s="107">
        <f t="shared" si="213"/>
        <v>17.16666667</v>
      </c>
      <c r="AA149" s="107">
        <f t="shared" si="213"/>
        <v>17.16666667</v>
      </c>
      <c r="AB149" s="107">
        <f t="shared" si="213"/>
        <v>17.16666667</v>
      </c>
      <c r="AC149" s="107">
        <f t="shared" si="213"/>
        <v>17.16666667</v>
      </c>
      <c r="AD149" s="107">
        <f t="shared" si="213"/>
        <v>17.16666667</v>
      </c>
      <c r="AE149" s="107">
        <f t="shared" si="213"/>
        <v>17.16666667</v>
      </c>
      <c r="AF149" s="107">
        <f t="shared" si="213"/>
        <v>17.16666667</v>
      </c>
      <c r="AG149" s="107">
        <f t="shared" si="213"/>
        <v>17.16666667</v>
      </c>
      <c r="AH149" s="106"/>
      <c r="AI149" s="106"/>
      <c r="AJ149" s="107">
        <f>SUM(J149:U149)</f>
        <v>200</v>
      </c>
      <c r="AK149" s="107">
        <f>SUM(V149:AG149)</f>
        <v>206</v>
      </c>
      <c r="AL149" s="107">
        <f>V149*(1+3%)*12</f>
        <v>212.18</v>
      </c>
      <c r="AM149" s="107">
        <f t="shared" ref="AM149:AN149" si="214">AL149*(1+3%)</f>
        <v>218.5454</v>
      </c>
      <c r="AN149" s="107">
        <f t="shared" si="214"/>
        <v>225.101762</v>
      </c>
      <c r="AO149" s="1"/>
      <c r="AP149" s="1"/>
    </row>
    <row r="150" ht="12.75" customHeight="1">
      <c r="A150" s="1"/>
      <c r="B150" s="52" t="s">
        <v>108</v>
      </c>
      <c r="C150" s="14"/>
      <c r="D150" s="14"/>
      <c r="E150" s="149">
        <v>10.0</v>
      </c>
      <c r="F150" s="149">
        <v>10.0</v>
      </c>
      <c r="G150" s="149">
        <v>10.0</v>
      </c>
      <c r="H150" s="149">
        <v>10.0</v>
      </c>
      <c r="I150" s="149">
        <v>10.0</v>
      </c>
      <c r="J150" s="150">
        <v>10.0</v>
      </c>
      <c r="K150" s="43">
        <f t="shared" ref="K150:U150" si="215">J150</f>
        <v>10</v>
      </c>
      <c r="L150" s="43">
        <f t="shared" si="215"/>
        <v>10</v>
      </c>
      <c r="M150" s="43">
        <f t="shared" si="215"/>
        <v>10</v>
      </c>
      <c r="N150" s="43">
        <f t="shared" si="215"/>
        <v>10</v>
      </c>
      <c r="O150" s="43">
        <f t="shared" si="215"/>
        <v>10</v>
      </c>
      <c r="P150" s="43">
        <f t="shared" si="215"/>
        <v>10</v>
      </c>
      <c r="Q150" s="43">
        <f t="shared" si="215"/>
        <v>10</v>
      </c>
      <c r="R150" s="43">
        <f t="shared" si="215"/>
        <v>10</v>
      </c>
      <c r="S150" s="43">
        <f t="shared" si="215"/>
        <v>10</v>
      </c>
      <c r="T150" s="43">
        <f t="shared" si="215"/>
        <v>10</v>
      </c>
      <c r="U150" s="43">
        <f t="shared" si="215"/>
        <v>10</v>
      </c>
      <c r="V150" s="150">
        <f>IF(Toggle=1,12+3,12)</f>
        <v>12</v>
      </c>
      <c r="W150" s="43">
        <f t="shared" ref="W150:AG150" si="216">V150</f>
        <v>12</v>
      </c>
      <c r="X150" s="43">
        <f t="shared" si="216"/>
        <v>12</v>
      </c>
      <c r="Y150" s="43">
        <f t="shared" si="216"/>
        <v>12</v>
      </c>
      <c r="Z150" s="43">
        <f t="shared" si="216"/>
        <v>12</v>
      </c>
      <c r="AA150" s="43">
        <f t="shared" si="216"/>
        <v>12</v>
      </c>
      <c r="AB150" s="43">
        <f t="shared" si="216"/>
        <v>12</v>
      </c>
      <c r="AC150" s="43">
        <f t="shared" si="216"/>
        <v>12</v>
      </c>
      <c r="AD150" s="43">
        <f t="shared" si="216"/>
        <v>12</v>
      </c>
      <c r="AE150" s="43">
        <f t="shared" si="216"/>
        <v>12</v>
      </c>
      <c r="AF150" s="43">
        <f t="shared" si="216"/>
        <v>12</v>
      </c>
      <c r="AG150" s="43">
        <f t="shared" si="216"/>
        <v>12</v>
      </c>
      <c r="AH150" s="106"/>
      <c r="AI150" s="106"/>
      <c r="AJ150" s="43">
        <f t="shared" ref="AJ150:AK150" si="217">AJ147/AJ149</f>
        <v>10</v>
      </c>
      <c r="AK150" s="43">
        <f t="shared" si="217"/>
        <v>11.91666667</v>
      </c>
      <c r="AL150" s="150">
        <v>20.0</v>
      </c>
      <c r="AM150" s="150">
        <v>25.0</v>
      </c>
      <c r="AN150" s="150">
        <v>30.0</v>
      </c>
      <c r="AO150" s="1"/>
      <c r="AP150" s="1"/>
    </row>
    <row r="151" ht="12.75" customHeight="1">
      <c r="A151" s="1"/>
      <c r="B151" s="1"/>
      <c r="C151" s="1"/>
      <c r="D151" s="1"/>
      <c r="E151" s="59"/>
      <c r="F151" s="24"/>
      <c r="G151" s="24"/>
      <c r="H151" s="24"/>
      <c r="I151" s="2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4"/>
      <c r="AI151" s="4"/>
      <c r="AJ151" s="1"/>
      <c r="AK151" s="1"/>
      <c r="AL151" s="1"/>
      <c r="AM151" s="1"/>
      <c r="AN151" s="1"/>
      <c r="AO151" s="1"/>
      <c r="AP151" s="1"/>
    </row>
    <row r="152" ht="12.75" hidden="1" customHeight="1" outlineLevel="1">
      <c r="A152" s="1"/>
      <c r="B152" s="151" t="s">
        <v>109</v>
      </c>
      <c r="C152" s="1"/>
      <c r="D152" s="1"/>
      <c r="E152" s="59"/>
      <c r="F152" s="24"/>
      <c r="G152" s="24"/>
      <c r="H152" s="24"/>
      <c r="I152" s="2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4"/>
      <c r="AI152" s="4"/>
      <c r="AJ152" s="1"/>
      <c r="AK152" s="1"/>
      <c r="AL152" s="1"/>
      <c r="AM152" s="1"/>
      <c r="AN152" s="1"/>
      <c r="AO152" s="1"/>
      <c r="AP152" s="1"/>
    </row>
    <row r="153" ht="12.75" hidden="1" customHeight="1" outlineLevel="1">
      <c r="A153" s="1"/>
      <c r="B153" s="1"/>
      <c r="C153" s="1"/>
      <c r="D153" s="1"/>
      <c r="E153" s="59"/>
      <c r="F153" s="24"/>
      <c r="G153" s="24"/>
      <c r="H153" s="24"/>
      <c r="I153" s="2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4"/>
      <c r="AI153" s="4"/>
      <c r="AJ153" s="1"/>
      <c r="AK153" s="1"/>
      <c r="AL153" s="1"/>
      <c r="AM153" s="1"/>
      <c r="AN153" s="1"/>
      <c r="AO153" s="1"/>
      <c r="AP153" s="1"/>
    </row>
    <row r="154" ht="12.75" hidden="1" customHeight="1" outlineLevel="1">
      <c r="A154" s="1"/>
      <c r="B154" s="86" t="s">
        <v>110</v>
      </c>
      <c r="C154" s="1"/>
      <c r="D154" s="1"/>
      <c r="E154" s="59">
        <v>37.5</v>
      </c>
      <c r="F154" s="59">
        <v>50.0</v>
      </c>
      <c r="G154" s="59">
        <v>62.5</v>
      </c>
      <c r="H154" s="59">
        <v>62.5</v>
      </c>
      <c r="I154" s="59">
        <v>62.5</v>
      </c>
      <c r="J154" s="16">
        <f t="shared" ref="J154:AG154" si="218">J156*AVERAGE(I157:J157)</f>
        <v>85.3125</v>
      </c>
      <c r="K154" s="16">
        <f t="shared" si="218"/>
        <v>91.875</v>
      </c>
      <c r="L154" s="16">
        <f t="shared" si="218"/>
        <v>91.875</v>
      </c>
      <c r="M154" s="16">
        <f t="shared" si="218"/>
        <v>91.875</v>
      </c>
      <c r="N154" s="16">
        <f t="shared" si="218"/>
        <v>91.875</v>
      </c>
      <c r="O154" s="16">
        <f t="shared" si="218"/>
        <v>91.875</v>
      </c>
      <c r="P154" s="16">
        <f t="shared" si="218"/>
        <v>98.4375</v>
      </c>
      <c r="Q154" s="16">
        <f t="shared" si="218"/>
        <v>105</v>
      </c>
      <c r="R154" s="16">
        <f t="shared" si="218"/>
        <v>105</v>
      </c>
      <c r="S154" s="16">
        <f t="shared" si="218"/>
        <v>105</v>
      </c>
      <c r="T154" s="16">
        <f t="shared" si="218"/>
        <v>105</v>
      </c>
      <c r="U154" s="16">
        <f t="shared" si="218"/>
        <v>105</v>
      </c>
      <c r="V154" s="16">
        <f t="shared" si="218"/>
        <v>121.66875</v>
      </c>
      <c r="W154" s="16">
        <f t="shared" si="218"/>
        <v>135.1875</v>
      </c>
      <c r="X154" s="16">
        <f t="shared" si="218"/>
        <v>135.1875</v>
      </c>
      <c r="Y154" s="16">
        <f t="shared" si="218"/>
        <v>135.1875</v>
      </c>
      <c r="Z154" s="16">
        <f t="shared" si="218"/>
        <v>135.1875</v>
      </c>
      <c r="AA154" s="16">
        <f t="shared" si="218"/>
        <v>135.1875</v>
      </c>
      <c r="AB154" s="16">
        <f t="shared" si="218"/>
        <v>148.70625</v>
      </c>
      <c r="AC154" s="16">
        <f t="shared" si="218"/>
        <v>162.225</v>
      </c>
      <c r="AD154" s="16">
        <f t="shared" si="218"/>
        <v>162.225</v>
      </c>
      <c r="AE154" s="16">
        <f t="shared" si="218"/>
        <v>162.225</v>
      </c>
      <c r="AF154" s="16">
        <f t="shared" si="218"/>
        <v>162.225</v>
      </c>
      <c r="AG154" s="16">
        <f t="shared" si="218"/>
        <v>162.225</v>
      </c>
      <c r="AH154" s="4"/>
      <c r="AI154" s="4"/>
      <c r="AJ154" s="27">
        <f>SUM(J154:U154)</f>
        <v>1168.125</v>
      </c>
      <c r="AK154" s="27">
        <f>SUM(V154:AG154)</f>
        <v>1757.4375</v>
      </c>
      <c r="AL154" s="16">
        <f t="shared" ref="AL154:AN154" si="219">AL156*AVERAGE(AK157:AL157)</f>
        <v>3411.456563</v>
      </c>
      <c r="AM154" s="16">
        <f t="shared" si="219"/>
        <v>6023.657588</v>
      </c>
      <c r="AN154" s="16">
        <f t="shared" si="219"/>
        <v>7533.874597</v>
      </c>
      <c r="AO154" s="1"/>
      <c r="AP154" s="1"/>
    </row>
    <row r="155" ht="12.75" hidden="1" customHeight="1" outlineLevel="1">
      <c r="A155" s="1"/>
      <c r="B155" s="52" t="s">
        <v>103</v>
      </c>
      <c r="C155" s="1"/>
      <c r="D155" s="1"/>
      <c r="E155" s="128">
        <f t="shared" ref="E155:AG155" si="220">IFERROR(E154/E$114,0)</f>
        <v>0</v>
      </c>
      <c r="F155" s="128">
        <f t="shared" si="220"/>
        <v>0</v>
      </c>
      <c r="G155" s="128">
        <f t="shared" si="220"/>
        <v>0</v>
      </c>
      <c r="H155" s="128">
        <f t="shared" si="220"/>
        <v>0</v>
      </c>
      <c r="I155" s="128">
        <f t="shared" si="220"/>
        <v>0</v>
      </c>
      <c r="J155" s="129">
        <f t="shared" si="220"/>
        <v>0</v>
      </c>
      <c r="K155" s="129">
        <f t="shared" si="220"/>
        <v>0</v>
      </c>
      <c r="L155" s="129">
        <f t="shared" si="220"/>
        <v>0</v>
      </c>
      <c r="M155" s="129">
        <f t="shared" si="220"/>
        <v>0.7515337423</v>
      </c>
      <c r="N155" s="129">
        <f t="shared" si="220"/>
        <v>0.7261410788</v>
      </c>
      <c r="O155" s="129">
        <f t="shared" si="220"/>
        <v>1.025133198</v>
      </c>
      <c r="P155" s="129">
        <f t="shared" si="220"/>
        <v>1.073938812</v>
      </c>
      <c r="Q155" s="129">
        <f t="shared" si="220"/>
        <v>1.123064018</v>
      </c>
      <c r="R155" s="129">
        <f t="shared" si="220"/>
        <v>0.4829922279</v>
      </c>
      <c r="S155" s="129">
        <f t="shared" si="220"/>
        <v>0.470524292</v>
      </c>
      <c r="T155" s="129">
        <f t="shared" si="220"/>
        <v>0.4598410115</v>
      </c>
      <c r="U155" s="129">
        <f t="shared" si="220"/>
        <v>0.450632538</v>
      </c>
      <c r="V155" s="129">
        <f t="shared" si="220"/>
        <v>0.5129260853</v>
      </c>
      <c r="W155" s="129">
        <f t="shared" si="220"/>
        <v>0.5609795813</v>
      </c>
      <c r="X155" s="129">
        <f t="shared" si="220"/>
        <v>0.5531714964</v>
      </c>
      <c r="Y155" s="129">
        <f t="shared" si="220"/>
        <v>0.3656704706</v>
      </c>
      <c r="Z155" s="129">
        <f t="shared" si="220"/>
        <v>0.3588465772</v>
      </c>
      <c r="AA155" s="129">
        <f t="shared" si="220"/>
        <v>0.3529192326</v>
      </c>
      <c r="AB155" s="129">
        <f t="shared" si="220"/>
        <v>0.3462314377</v>
      </c>
      <c r="AC155" s="129">
        <f t="shared" si="220"/>
        <v>0.3720333619</v>
      </c>
      <c r="AD155" s="129">
        <f t="shared" si="220"/>
        <v>0.3670708594</v>
      </c>
      <c r="AE155" s="129">
        <f t="shared" si="220"/>
        <v>0.2848550466</v>
      </c>
      <c r="AF155" s="129">
        <f t="shared" si="220"/>
        <v>0.280399196</v>
      </c>
      <c r="AG155" s="129">
        <f t="shared" si="220"/>
        <v>0.276506464</v>
      </c>
      <c r="AH155" s="4"/>
      <c r="AI155" s="4"/>
      <c r="AJ155" s="129">
        <f t="shared" ref="AJ155:AN155" si="221">IFERROR(AJ154/AJ$114,0)</f>
        <v>0.8194793814</v>
      </c>
      <c r="AK155" s="129">
        <f t="shared" si="221"/>
        <v>0.3590787116</v>
      </c>
      <c r="AL155" s="129">
        <f t="shared" si="221"/>
        <v>0.2659128963</v>
      </c>
      <c r="AM155" s="129">
        <f t="shared" si="221"/>
        <v>0.2178076564</v>
      </c>
      <c r="AN155" s="129">
        <f t="shared" si="221"/>
        <v>0.128555651</v>
      </c>
      <c r="AO155" s="1"/>
      <c r="AP155" s="1"/>
    </row>
    <row r="156" ht="12.75" hidden="1" customHeight="1" outlineLevel="1">
      <c r="A156" s="1"/>
      <c r="B156" s="52" t="s">
        <v>111</v>
      </c>
      <c r="C156" s="1"/>
      <c r="D156" s="1"/>
      <c r="E156" s="148">
        <f t="shared" ref="E156:I156" si="222">+E154/E157</f>
        <v>7.5</v>
      </c>
      <c r="F156" s="148">
        <f t="shared" si="222"/>
        <v>10</v>
      </c>
      <c r="G156" s="148">
        <f t="shared" si="222"/>
        <v>10.41666667</v>
      </c>
      <c r="H156" s="148">
        <f t="shared" si="222"/>
        <v>10.41666667</v>
      </c>
      <c r="I156" s="148">
        <f t="shared" si="222"/>
        <v>10.41666667</v>
      </c>
      <c r="J156" s="138">
        <v>13.125</v>
      </c>
      <c r="K156" s="107">
        <f t="shared" ref="K156:U156" si="223">J156</f>
        <v>13.125</v>
      </c>
      <c r="L156" s="107">
        <f t="shared" si="223"/>
        <v>13.125</v>
      </c>
      <c r="M156" s="107">
        <f t="shared" si="223"/>
        <v>13.125</v>
      </c>
      <c r="N156" s="107">
        <f t="shared" si="223"/>
        <v>13.125</v>
      </c>
      <c r="O156" s="107">
        <f t="shared" si="223"/>
        <v>13.125</v>
      </c>
      <c r="P156" s="107">
        <f t="shared" si="223"/>
        <v>13.125</v>
      </c>
      <c r="Q156" s="107">
        <f t="shared" si="223"/>
        <v>13.125</v>
      </c>
      <c r="R156" s="107">
        <f t="shared" si="223"/>
        <v>13.125</v>
      </c>
      <c r="S156" s="107">
        <f t="shared" si="223"/>
        <v>13.125</v>
      </c>
      <c r="T156" s="107">
        <f t="shared" si="223"/>
        <v>13.125</v>
      </c>
      <c r="U156" s="107">
        <f t="shared" si="223"/>
        <v>13.125</v>
      </c>
      <c r="V156" s="138">
        <f>J156*(1+3%)</f>
        <v>13.51875</v>
      </c>
      <c r="W156" s="107">
        <f t="shared" ref="W156:AG156" si="224">V156</f>
        <v>13.51875</v>
      </c>
      <c r="X156" s="107">
        <f t="shared" si="224"/>
        <v>13.51875</v>
      </c>
      <c r="Y156" s="107">
        <f t="shared" si="224"/>
        <v>13.51875</v>
      </c>
      <c r="Z156" s="107">
        <f t="shared" si="224"/>
        <v>13.51875</v>
      </c>
      <c r="AA156" s="107">
        <f t="shared" si="224"/>
        <v>13.51875</v>
      </c>
      <c r="AB156" s="107">
        <f t="shared" si="224"/>
        <v>13.51875</v>
      </c>
      <c r="AC156" s="107">
        <f t="shared" si="224"/>
        <v>13.51875</v>
      </c>
      <c r="AD156" s="107">
        <f t="shared" si="224"/>
        <v>13.51875</v>
      </c>
      <c r="AE156" s="107">
        <f t="shared" si="224"/>
        <v>13.51875</v>
      </c>
      <c r="AF156" s="107">
        <f t="shared" si="224"/>
        <v>13.51875</v>
      </c>
      <c r="AG156" s="107">
        <f t="shared" si="224"/>
        <v>13.51875</v>
      </c>
      <c r="AH156" s="4"/>
      <c r="AI156" s="4"/>
      <c r="AJ156" s="107">
        <f>SUM(J156:U156)</f>
        <v>157.5</v>
      </c>
      <c r="AK156" s="107">
        <f>SUM(V156:AG156)</f>
        <v>162.225</v>
      </c>
      <c r="AL156" s="138">
        <f t="shared" ref="AL156:AN156" si="225">AK156*(1+3%)</f>
        <v>167.09175</v>
      </c>
      <c r="AM156" s="138">
        <f t="shared" si="225"/>
        <v>172.1045025</v>
      </c>
      <c r="AN156" s="138">
        <f t="shared" si="225"/>
        <v>177.2676376</v>
      </c>
      <c r="AO156" s="1"/>
      <c r="AP156" s="1"/>
    </row>
    <row r="157" ht="12.75" hidden="1" customHeight="1" outlineLevel="1">
      <c r="A157" s="1"/>
      <c r="B157" s="52" t="s">
        <v>112</v>
      </c>
      <c r="C157" s="1"/>
      <c r="D157" s="1"/>
      <c r="E157" s="149">
        <v>5.0</v>
      </c>
      <c r="F157" s="149">
        <v>5.0</v>
      </c>
      <c r="G157" s="149">
        <v>6.0</v>
      </c>
      <c r="H157" s="149">
        <v>6.0</v>
      </c>
      <c r="I157" s="149">
        <v>6.0</v>
      </c>
      <c r="J157" s="150">
        <v>7.0</v>
      </c>
      <c r="K157" s="150">
        <v>7.0</v>
      </c>
      <c r="L157" s="150">
        <v>7.0</v>
      </c>
      <c r="M157" s="150">
        <v>7.0</v>
      </c>
      <c r="N157" s="150">
        <v>7.0</v>
      </c>
      <c r="O157" s="150">
        <v>7.0</v>
      </c>
      <c r="P157" s="150">
        <v>8.0</v>
      </c>
      <c r="Q157" s="150">
        <v>8.0</v>
      </c>
      <c r="R157" s="150">
        <v>8.0</v>
      </c>
      <c r="S157" s="150">
        <v>8.0</v>
      </c>
      <c r="T157" s="150">
        <v>8.0</v>
      </c>
      <c r="U157" s="150">
        <v>8.0</v>
      </c>
      <c r="V157" s="150">
        <v>10.0</v>
      </c>
      <c r="W157" s="150">
        <v>10.0</v>
      </c>
      <c r="X157" s="150">
        <v>10.0</v>
      </c>
      <c r="Y157" s="150">
        <v>10.0</v>
      </c>
      <c r="Z157" s="150">
        <v>10.0</v>
      </c>
      <c r="AA157" s="150">
        <v>10.0</v>
      </c>
      <c r="AB157" s="150">
        <v>12.0</v>
      </c>
      <c r="AC157" s="150">
        <v>12.0</v>
      </c>
      <c r="AD157" s="150">
        <v>12.0</v>
      </c>
      <c r="AE157" s="150">
        <v>12.0</v>
      </c>
      <c r="AF157" s="150">
        <v>12.0</v>
      </c>
      <c r="AG157" s="152">
        <v>12.0</v>
      </c>
      <c r="AH157" s="4"/>
      <c r="AI157" s="4"/>
      <c r="AJ157" s="42">
        <f t="shared" ref="AJ157:AK157" si="226">AJ154/AJ156</f>
        <v>7.416666667</v>
      </c>
      <c r="AK157" s="42">
        <f t="shared" si="226"/>
        <v>10.83333333</v>
      </c>
      <c r="AL157" s="150">
        <v>30.0</v>
      </c>
      <c r="AM157" s="150">
        <v>40.0</v>
      </c>
      <c r="AN157" s="150">
        <v>45.0</v>
      </c>
      <c r="AO157" s="1"/>
      <c r="AP157" s="1"/>
    </row>
    <row r="158" ht="12.75" hidden="1" customHeight="1" outlineLevel="1">
      <c r="A158" s="1"/>
      <c r="B158" s="52"/>
      <c r="C158" s="1"/>
      <c r="D158" s="1"/>
      <c r="E158" s="24"/>
      <c r="F158" s="24"/>
      <c r="G158" s="24"/>
      <c r="H158" s="24"/>
      <c r="I158" s="24"/>
      <c r="J158" s="153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4"/>
      <c r="AI158" s="4"/>
      <c r="AJ158" s="1"/>
      <c r="AK158" s="129"/>
      <c r="AL158" s="129"/>
      <c r="AM158" s="129"/>
      <c r="AN158" s="129"/>
      <c r="AO158" s="1"/>
      <c r="AP158" s="1"/>
    </row>
    <row r="159" ht="12.75" hidden="1" customHeight="1" outlineLevel="1">
      <c r="A159" s="1"/>
      <c r="B159" s="86" t="s">
        <v>113</v>
      </c>
      <c r="C159" s="1"/>
      <c r="D159" s="1"/>
      <c r="E159" s="59">
        <v>0.0</v>
      </c>
      <c r="F159" s="59">
        <v>0.0</v>
      </c>
      <c r="G159" s="59">
        <v>0.0</v>
      </c>
      <c r="H159" s="59">
        <v>0.0</v>
      </c>
      <c r="I159" s="59">
        <v>0.0</v>
      </c>
      <c r="J159" s="16">
        <f t="shared" ref="J159:AG159" si="227">J161*AVERAGE(I162:J162)</f>
        <v>6.5625</v>
      </c>
      <c r="K159" s="16">
        <f t="shared" si="227"/>
        <v>13.125</v>
      </c>
      <c r="L159" s="16">
        <f t="shared" si="227"/>
        <v>13.125</v>
      </c>
      <c r="M159" s="16">
        <f t="shared" si="227"/>
        <v>13.125</v>
      </c>
      <c r="N159" s="16">
        <f t="shared" si="227"/>
        <v>13.125</v>
      </c>
      <c r="O159" s="16">
        <f t="shared" si="227"/>
        <v>19.6875</v>
      </c>
      <c r="P159" s="16">
        <f t="shared" si="227"/>
        <v>26.25</v>
      </c>
      <c r="Q159" s="16">
        <f t="shared" si="227"/>
        <v>26.25</v>
      </c>
      <c r="R159" s="16">
        <f t="shared" si="227"/>
        <v>26.25</v>
      </c>
      <c r="S159" s="16">
        <f t="shared" si="227"/>
        <v>26.25</v>
      </c>
      <c r="T159" s="16">
        <f t="shared" si="227"/>
        <v>26.25</v>
      </c>
      <c r="U159" s="16">
        <f t="shared" si="227"/>
        <v>26.25</v>
      </c>
      <c r="V159" s="16">
        <f t="shared" si="227"/>
        <v>33.796875</v>
      </c>
      <c r="W159" s="16">
        <f t="shared" si="227"/>
        <v>40.55625</v>
      </c>
      <c r="X159" s="16">
        <f t="shared" si="227"/>
        <v>40.55625</v>
      </c>
      <c r="Y159" s="16">
        <f t="shared" si="227"/>
        <v>47.315625</v>
      </c>
      <c r="Z159" s="16">
        <f t="shared" si="227"/>
        <v>54.075</v>
      </c>
      <c r="AA159" s="16">
        <f t="shared" si="227"/>
        <v>54.075</v>
      </c>
      <c r="AB159" s="16">
        <f t="shared" si="227"/>
        <v>54.075</v>
      </c>
      <c r="AC159" s="16">
        <f t="shared" si="227"/>
        <v>54.075</v>
      </c>
      <c r="AD159" s="16">
        <f t="shared" si="227"/>
        <v>54.075</v>
      </c>
      <c r="AE159" s="16">
        <f t="shared" si="227"/>
        <v>60.834375</v>
      </c>
      <c r="AF159" s="16">
        <f t="shared" si="227"/>
        <v>67.59375</v>
      </c>
      <c r="AG159" s="16">
        <f t="shared" si="227"/>
        <v>67.59375</v>
      </c>
      <c r="AH159" s="4"/>
      <c r="AI159" s="4"/>
      <c r="AJ159" s="27">
        <f>SUM(J159:U159)</f>
        <v>236.25</v>
      </c>
      <c r="AK159" s="27">
        <f>SUM(V159:AG159)</f>
        <v>628.621875</v>
      </c>
      <c r="AL159" s="16">
        <f t="shared" ref="AL159:AN159" si="228">AL161*AVERAGE(AK162:AL162)</f>
        <v>992.1072656</v>
      </c>
      <c r="AM159" s="16">
        <f t="shared" si="228"/>
        <v>1807.097276</v>
      </c>
      <c r="AN159" s="16">
        <f t="shared" si="228"/>
        <v>3102.183658</v>
      </c>
      <c r="AO159" s="1"/>
      <c r="AP159" s="1"/>
    </row>
    <row r="160" ht="12.75" hidden="1" customHeight="1" outlineLevel="1">
      <c r="A160" s="1"/>
      <c r="B160" s="52" t="s">
        <v>103</v>
      </c>
      <c r="C160" s="1"/>
      <c r="D160" s="1"/>
      <c r="E160" s="128">
        <f t="shared" ref="E160:AG160" si="229">IFERROR(E159/E$114,0)</f>
        <v>0</v>
      </c>
      <c r="F160" s="128">
        <f t="shared" si="229"/>
        <v>0</v>
      </c>
      <c r="G160" s="128">
        <f t="shared" si="229"/>
        <v>0</v>
      </c>
      <c r="H160" s="128">
        <f t="shared" si="229"/>
        <v>0</v>
      </c>
      <c r="I160" s="128">
        <f t="shared" si="229"/>
        <v>0</v>
      </c>
      <c r="J160" s="129">
        <f t="shared" si="229"/>
        <v>0</v>
      </c>
      <c r="K160" s="129">
        <f t="shared" si="229"/>
        <v>0</v>
      </c>
      <c r="L160" s="129">
        <f t="shared" si="229"/>
        <v>0</v>
      </c>
      <c r="M160" s="129">
        <f t="shared" si="229"/>
        <v>0.1073619632</v>
      </c>
      <c r="N160" s="129">
        <f t="shared" si="229"/>
        <v>0.1037344398</v>
      </c>
      <c r="O160" s="129">
        <f t="shared" si="229"/>
        <v>0.2196713995</v>
      </c>
      <c r="P160" s="129">
        <f t="shared" si="229"/>
        <v>0.2863836832</v>
      </c>
      <c r="Q160" s="129">
        <f t="shared" si="229"/>
        <v>0.2807660045</v>
      </c>
      <c r="R160" s="129">
        <f t="shared" si="229"/>
        <v>0.120748057</v>
      </c>
      <c r="S160" s="129">
        <f t="shared" si="229"/>
        <v>0.117631073</v>
      </c>
      <c r="T160" s="129">
        <f t="shared" si="229"/>
        <v>0.1149602529</v>
      </c>
      <c r="U160" s="129">
        <f t="shared" si="229"/>
        <v>0.1126581345</v>
      </c>
      <c r="V160" s="129">
        <f t="shared" si="229"/>
        <v>0.1424794681</v>
      </c>
      <c r="W160" s="129">
        <f t="shared" si="229"/>
        <v>0.1682938744</v>
      </c>
      <c r="X160" s="129">
        <f t="shared" si="229"/>
        <v>0.1659514489</v>
      </c>
      <c r="Y160" s="129">
        <f t="shared" si="229"/>
        <v>0.1279846647</v>
      </c>
      <c r="Z160" s="129">
        <f t="shared" si="229"/>
        <v>0.1435386309</v>
      </c>
      <c r="AA160" s="129">
        <f t="shared" si="229"/>
        <v>0.141167693</v>
      </c>
      <c r="AB160" s="129">
        <f t="shared" si="229"/>
        <v>0.125902341</v>
      </c>
      <c r="AC160" s="129">
        <f t="shared" si="229"/>
        <v>0.1240111206</v>
      </c>
      <c r="AD160" s="129">
        <f t="shared" si="229"/>
        <v>0.1223569531</v>
      </c>
      <c r="AE160" s="129">
        <f t="shared" si="229"/>
        <v>0.1068206425</v>
      </c>
      <c r="AF160" s="129">
        <f t="shared" si="229"/>
        <v>0.1168329983</v>
      </c>
      <c r="AG160" s="129">
        <f t="shared" si="229"/>
        <v>0.1152110267</v>
      </c>
      <c r="AH160" s="4"/>
      <c r="AI160" s="4"/>
      <c r="AJ160" s="129">
        <f t="shared" ref="AJ160:AN160" si="230">IFERROR(AJ159/AJ$114,0)</f>
        <v>0.165737403</v>
      </c>
      <c r="AK160" s="129">
        <f t="shared" si="230"/>
        <v>0.128439693</v>
      </c>
      <c r="AL160" s="129">
        <f t="shared" si="230"/>
        <v>0.07733181167</v>
      </c>
      <c r="AM160" s="129">
        <f t="shared" si="230"/>
        <v>0.06534229692</v>
      </c>
      <c r="AN160" s="129">
        <f t="shared" si="230"/>
        <v>0.05293467983</v>
      </c>
      <c r="AO160" s="1"/>
      <c r="AP160" s="1"/>
    </row>
    <row r="161" ht="12.75" hidden="1" customHeight="1" outlineLevel="1">
      <c r="A161" s="1"/>
      <c r="B161" s="52" t="s">
        <v>114</v>
      </c>
      <c r="C161" s="1"/>
      <c r="D161" s="1"/>
      <c r="E161" s="149">
        <v>12.5</v>
      </c>
      <c r="F161" s="149">
        <v>12.5</v>
      </c>
      <c r="G161" s="149">
        <v>12.5</v>
      </c>
      <c r="H161" s="149">
        <v>12.5</v>
      </c>
      <c r="I161" s="149">
        <v>12.5</v>
      </c>
      <c r="J161" s="138">
        <v>13.125</v>
      </c>
      <c r="K161" s="107">
        <f t="shared" ref="K161:U161" si="231">J161</f>
        <v>13.125</v>
      </c>
      <c r="L161" s="107">
        <f t="shared" si="231"/>
        <v>13.125</v>
      </c>
      <c r="M161" s="107">
        <f t="shared" si="231"/>
        <v>13.125</v>
      </c>
      <c r="N161" s="107">
        <f t="shared" si="231"/>
        <v>13.125</v>
      </c>
      <c r="O161" s="107">
        <f t="shared" si="231"/>
        <v>13.125</v>
      </c>
      <c r="P161" s="107">
        <f t="shared" si="231"/>
        <v>13.125</v>
      </c>
      <c r="Q161" s="107">
        <f t="shared" si="231"/>
        <v>13.125</v>
      </c>
      <c r="R161" s="107">
        <f t="shared" si="231"/>
        <v>13.125</v>
      </c>
      <c r="S161" s="107">
        <f t="shared" si="231"/>
        <v>13.125</v>
      </c>
      <c r="T161" s="107">
        <f t="shared" si="231"/>
        <v>13.125</v>
      </c>
      <c r="U161" s="107">
        <f t="shared" si="231"/>
        <v>13.125</v>
      </c>
      <c r="V161" s="138">
        <f>J161*(1+3%)</f>
        <v>13.51875</v>
      </c>
      <c r="W161" s="107">
        <f t="shared" ref="W161:AG161" si="232">V161</f>
        <v>13.51875</v>
      </c>
      <c r="X161" s="107">
        <f t="shared" si="232"/>
        <v>13.51875</v>
      </c>
      <c r="Y161" s="107">
        <f t="shared" si="232"/>
        <v>13.51875</v>
      </c>
      <c r="Z161" s="107">
        <f t="shared" si="232"/>
        <v>13.51875</v>
      </c>
      <c r="AA161" s="107">
        <f t="shared" si="232"/>
        <v>13.51875</v>
      </c>
      <c r="AB161" s="107">
        <f t="shared" si="232"/>
        <v>13.51875</v>
      </c>
      <c r="AC161" s="107">
        <f t="shared" si="232"/>
        <v>13.51875</v>
      </c>
      <c r="AD161" s="107">
        <f t="shared" si="232"/>
        <v>13.51875</v>
      </c>
      <c r="AE161" s="107">
        <f t="shared" si="232"/>
        <v>13.51875</v>
      </c>
      <c r="AF161" s="107">
        <f t="shared" si="232"/>
        <v>13.51875</v>
      </c>
      <c r="AG161" s="107">
        <f t="shared" si="232"/>
        <v>13.51875</v>
      </c>
      <c r="AH161" s="4"/>
      <c r="AI161" s="4"/>
      <c r="AJ161" s="107">
        <f>SUM(J161:U161)</f>
        <v>157.5</v>
      </c>
      <c r="AK161" s="107">
        <f>SUM(V161:AG161)</f>
        <v>162.225</v>
      </c>
      <c r="AL161" s="138">
        <f t="shared" ref="AL161:AN161" si="233">AK161*(1+3%)</f>
        <v>167.09175</v>
      </c>
      <c r="AM161" s="138">
        <f t="shared" si="233"/>
        <v>172.1045025</v>
      </c>
      <c r="AN161" s="138">
        <f t="shared" si="233"/>
        <v>177.2676376</v>
      </c>
      <c r="AO161" s="1"/>
      <c r="AP161" s="1"/>
    </row>
    <row r="162" ht="12.75" hidden="1" customHeight="1" outlineLevel="1">
      <c r="A162" s="1"/>
      <c r="B162" s="52" t="s">
        <v>115</v>
      </c>
      <c r="C162" s="1"/>
      <c r="D162" s="1"/>
      <c r="E162" s="149">
        <v>0.0</v>
      </c>
      <c r="F162" s="149">
        <v>0.0</v>
      </c>
      <c r="G162" s="149">
        <v>0.0</v>
      </c>
      <c r="H162" s="149">
        <v>0.0</v>
      </c>
      <c r="I162" s="149">
        <v>0.0</v>
      </c>
      <c r="J162" s="150">
        <f t="shared" ref="J162:AG162" si="234">MAX(ROUNDUP(J12/3,),0)</f>
        <v>1</v>
      </c>
      <c r="K162" s="150">
        <f t="shared" si="234"/>
        <v>1</v>
      </c>
      <c r="L162" s="150">
        <f t="shared" si="234"/>
        <v>1</v>
      </c>
      <c r="M162" s="150">
        <f t="shared" si="234"/>
        <v>1</v>
      </c>
      <c r="N162" s="150">
        <f t="shared" si="234"/>
        <v>1</v>
      </c>
      <c r="O162" s="150">
        <f t="shared" si="234"/>
        <v>2</v>
      </c>
      <c r="P162" s="150">
        <f t="shared" si="234"/>
        <v>2</v>
      </c>
      <c r="Q162" s="150">
        <f t="shared" si="234"/>
        <v>2</v>
      </c>
      <c r="R162" s="150">
        <f t="shared" si="234"/>
        <v>2</v>
      </c>
      <c r="S162" s="150">
        <f t="shared" si="234"/>
        <v>2</v>
      </c>
      <c r="T162" s="150">
        <f t="shared" si="234"/>
        <v>2</v>
      </c>
      <c r="U162" s="150">
        <f t="shared" si="234"/>
        <v>2</v>
      </c>
      <c r="V162" s="150">
        <f t="shared" si="234"/>
        <v>3</v>
      </c>
      <c r="W162" s="150">
        <f t="shared" si="234"/>
        <v>3</v>
      </c>
      <c r="X162" s="150">
        <f t="shared" si="234"/>
        <v>3</v>
      </c>
      <c r="Y162" s="150">
        <f t="shared" si="234"/>
        <v>4</v>
      </c>
      <c r="Z162" s="150">
        <f t="shared" si="234"/>
        <v>4</v>
      </c>
      <c r="AA162" s="150">
        <f t="shared" si="234"/>
        <v>4</v>
      </c>
      <c r="AB162" s="150">
        <f t="shared" si="234"/>
        <v>4</v>
      </c>
      <c r="AC162" s="150">
        <f t="shared" si="234"/>
        <v>4</v>
      </c>
      <c r="AD162" s="150">
        <f t="shared" si="234"/>
        <v>4</v>
      </c>
      <c r="AE162" s="150">
        <f t="shared" si="234"/>
        <v>5</v>
      </c>
      <c r="AF162" s="150">
        <f t="shared" si="234"/>
        <v>5</v>
      </c>
      <c r="AG162" s="152">
        <f t="shared" si="234"/>
        <v>5</v>
      </c>
      <c r="AH162" s="4"/>
      <c r="AI162" s="4"/>
      <c r="AJ162" s="42">
        <f t="shared" ref="AJ162:AK162" si="235">AJ159/AJ161</f>
        <v>1.5</v>
      </c>
      <c r="AK162" s="42">
        <f t="shared" si="235"/>
        <v>3.875</v>
      </c>
      <c r="AL162" s="150">
        <f t="shared" ref="AL162:AN162" si="236">MAX(ROUNDUP(AL12/3,),0)</f>
        <v>8</v>
      </c>
      <c r="AM162" s="150">
        <f t="shared" si="236"/>
        <v>13</v>
      </c>
      <c r="AN162" s="150">
        <f t="shared" si="236"/>
        <v>22</v>
      </c>
      <c r="AO162" s="1"/>
      <c r="AP162" s="1"/>
    </row>
    <row r="163" ht="12.75" hidden="1" customHeight="1" outlineLevel="1">
      <c r="A163" s="1"/>
      <c r="B163" s="86"/>
      <c r="C163" s="1"/>
      <c r="D163" s="1"/>
      <c r="E163" s="24"/>
      <c r="F163" s="24"/>
      <c r="G163" s="24"/>
      <c r="H163" s="24"/>
      <c r="I163" s="2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4"/>
      <c r="AI163" s="4"/>
      <c r="AJ163" s="1"/>
      <c r="AK163" s="1"/>
      <c r="AL163" s="1"/>
      <c r="AM163" s="1"/>
      <c r="AN163" s="1"/>
      <c r="AO163" s="1"/>
      <c r="AP163" s="1"/>
    </row>
    <row r="164" ht="12.75" hidden="1" customHeight="1" outlineLevel="1">
      <c r="A164" s="1"/>
      <c r="B164" s="86" t="s">
        <v>116</v>
      </c>
      <c r="C164" s="1"/>
      <c r="D164" s="1"/>
      <c r="E164" s="59">
        <v>8.0</v>
      </c>
      <c r="F164" s="59">
        <v>9.0</v>
      </c>
      <c r="G164" s="59">
        <v>10.375</v>
      </c>
      <c r="H164" s="59">
        <v>11.375</v>
      </c>
      <c r="I164" s="59">
        <v>11.375</v>
      </c>
      <c r="J164" s="16">
        <f t="shared" ref="J164:U164" si="237">(J154+J159+J147+J144)*J165</f>
        <v>19.390625</v>
      </c>
      <c r="K164" s="16">
        <f t="shared" si="237"/>
        <v>20.375</v>
      </c>
      <c r="L164" s="16">
        <f t="shared" si="237"/>
        <v>27.875</v>
      </c>
      <c r="M164" s="16">
        <f t="shared" si="237"/>
        <v>21.291875</v>
      </c>
      <c r="N164" s="16">
        <f t="shared" si="237"/>
        <v>21.3239375</v>
      </c>
      <c r="O164" s="16">
        <f t="shared" si="237"/>
        <v>21.53935625</v>
      </c>
      <c r="P164" s="16">
        <f t="shared" si="237"/>
        <v>22.53901438</v>
      </c>
      <c r="Q164" s="16">
        <f t="shared" si="237"/>
        <v>23.04495669</v>
      </c>
      <c r="R164" s="16">
        <f t="shared" si="237"/>
        <v>23.97421102</v>
      </c>
      <c r="S164" s="16">
        <f t="shared" si="237"/>
        <v>24.01741492</v>
      </c>
      <c r="T164" s="16">
        <f t="shared" si="237"/>
        <v>24.05629843</v>
      </c>
      <c r="U164" s="16">
        <f t="shared" si="237"/>
        <v>24.09129358</v>
      </c>
      <c r="V164" s="16">
        <f t="shared" ref="V164:AG164" si="238">(V154+V159)*V165</f>
        <v>11.65992188</v>
      </c>
      <c r="W164" s="16">
        <f t="shared" si="238"/>
        <v>13.18078125</v>
      </c>
      <c r="X164" s="16">
        <f t="shared" si="238"/>
        <v>13.18078125</v>
      </c>
      <c r="Y164" s="16">
        <f t="shared" si="238"/>
        <v>13.68773438</v>
      </c>
      <c r="Z164" s="16">
        <f t="shared" si="238"/>
        <v>14.1946875</v>
      </c>
      <c r="AA164" s="16">
        <f t="shared" si="238"/>
        <v>14.1946875</v>
      </c>
      <c r="AB164" s="16">
        <f t="shared" si="238"/>
        <v>15.20859375</v>
      </c>
      <c r="AC164" s="16">
        <f t="shared" si="238"/>
        <v>16.2225</v>
      </c>
      <c r="AD164" s="16">
        <f t="shared" si="238"/>
        <v>16.2225</v>
      </c>
      <c r="AE164" s="16">
        <f t="shared" si="238"/>
        <v>16.72945313</v>
      </c>
      <c r="AF164" s="16">
        <f t="shared" si="238"/>
        <v>17.23640625</v>
      </c>
      <c r="AG164" s="16">
        <f t="shared" si="238"/>
        <v>17.23640625</v>
      </c>
      <c r="AH164" s="4"/>
      <c r="AI164" s="4"/>
      <c r="AJ164" s="27">
        <f>SUM(J164:U164)</f>
        <v>273.5189828</v>
      </c>
      <c r="AK164" s="27">
        <f>SUM(V164:AG164)</f>
        <v>178.9544531</v>
      </c>
      <c r="AL164" s="16">
        <f t="shared" ref="AL164:AN164" si="239">(AL154+AL159)*AL165</f>
        <v>660.5345742</v>
      </c>
      <c r="AM164" s="16">
        <f t="shared" si="239"/>
        <v>1174.61323</v>
      </c>
      <c r="AN164" s="16">
        <f t="shared" si="239"/>
        <v>1595.408738</v>
      </c>
      <c r="AO164" s="1"/>
      <c r="AP164" s="1"/>
    </row>
    <row r="165" ht="12.75" hidden="1" customHeight="1" outlineLevel="1">
      <c r="A165" s="1"/>
      <c r="B165" s="52" t="s">
        <v>117</v>
      </c>
      <c r="C165" s="1"/>
      <c r="D165" s="1"/>
      <c r="E165" s="128">
        <f t="shared" ref="E165:I165" si="240">E164/(E154+E159+E147+E140)</f>
        <v>0.06620689655</v>
      </c>
      <c r="F165" s="128">
        <f t="shared" si="240"/>
        <v>0.0675</v>
      </c>
      <c r="G165" s="128">
        <f t="shared" si="240"/>
        <v>0.07114285714</v>
      </c>
      <c r="H165" s="128">
        <f t="shared" si="240"/>
        <v>0.078</v>
      </c>
      <c r="I165" s="128">
        <f t="shared" si="240"/>
        <v>0.078</v>
      </c>
      <c r="J165" s="137">
        <v>0.075</v>
      </c>
      <c r="K165" s="129">
        <f t="shared" ref="K165:AG165" si="241">J165</f>
        <v>0.075</v>
      </c>
      <c r="L165" s="129">
        <f t="shared" si="241"/>
        <v>0.075</v>
      </c>
      <c r="M165" s="129">
        <f t="shared" si="241"/>
        <v>0.075</v>
      </c>
      <c r="N165" s="129">
        <f t="shared" si="241"/>
        <v>0.075</v>
      </c>
      <c r="O165" s="129">
        <f t="shared" si="241"/>
        <v>0.075</v>
      </c>
      <c r="P165" s="129">
        <f t="shared" si="241"/>
        <v>0.075</v>
      </c>
      <c r="Q165" s="129">
        <f t="shared" si="241"/>
        <v>0.075</v>
      </c>
      <c r="R165" s="129">
        <f t="shared" si="241"/>
        <v>0.075</v>
      </c>
      <c r="S165" s="129">
        <f t="shared" si="241"/>
        <v>0.075</v>
      </c>
      <c r="T165" s="129">
        <f t="shared" si="241"/>
        <v>0.075</v>
      </c>
      <c r="U165" s="129">
        <f t="shared" si="241"/>
        <v>0.075</v>
      </c>
      <c r="V165" s="129">
        <f t="shared" si="241"/>
        <v>0.075</v>
      </c>
      <c r="W165" s="129">
        <f t="shared" si="241"/>
        <v>0.075</v>
      </c>
      <c r="X165" s="129">
        <f t="shared" si="241"/>
        <v>0.075</v>
      </c>
      <c r="Y165" s="129">
        <f t="shared" si="241"/>
        <v>0.075</v>
      </c>
      <c r="Z165" s="129">
        <f t="shared" si="241"/>
        <v>0.075</v>
      </c>
      <c r="AA165" s="129">
        <f t="shared" si="241"/>
        <v>0.075</v>
      </c>
      <c r="AB165" s="129">
        <f t="shared" si="241"/>
        <v>0.075</v>
      </c>
      <c r="AC165" s="129">
        <f t="shared" si="241"/>
        <v>0.075</v>
      </c>
      <c r="AD165" s="129">
        <f t="shared" si="241"/>
        <v>0.075</v>
      </c>
      <c r="AE165" s="129">
        <f t="shared" si="241"/>
        <v>0.075</v>
      </c>
      <c r="AF165" s="129">
        <f t="shared" si="241"/>
        <v>0.075</v>
      </c>
      <c r="AG165" s="129">
        <f t="shared" si="241"/>
        <v>0.075</v>
      </c>
      <c r="AH165" s="4"/>
      <c r="AI165" s="4"/>
      <c r="AJ165" s="129">
        <f t="shared" ref="AJ165:AK165" si="242">AJ164/(AJ154+AJ159)</f>
        <v>0.1947620705</v>
      </c>
      <c r="AK165" s="129">
        <f t="shared" si="242"/>
        <v>0.075</v>
      </c>
      <c r="AL165" s="137">
        <v>0.15</v>
      </c>
      <c r="AM165" s="137">
        <v>0.15</v>
      </c>
      <c r="AN165" s="137">
        <v>0.15</v>
      </c>
      <c r="AO165" s="1"/>
      <c r="AP165" s="1"/>
    </row>
    <row r="166" ht="12.75" hidden="1" customHeight="1" outlineLevel="1">
      <c r="A166" s="1"/>
      <c r="B166" s="86"/>
      <c r="C166" s="1"/>
      <c r="D166" s="1"/>
      <c r="E166" s="24"/>
      <c r="F166" s="24"/>
      <c r="G166" s="24"/>
      <c r="H166" s="24"/>
      <c r="I166" s="2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4"/>
      <c r="AI166" s="4"/>
      <c r="AJ166" s="1"/>
      <c r="AK166" s="1"/>
      <c r="AL166" s="1"/>
      <c r="AM166" s="1"/>
      <c r="AN166" s="1"/>
      <c r="AO166" s="1"/>
      <c r="AP166" s="1"/>
    </row>
    <row r="167" ht="12.75" hidden="1" customHeight="1" outlineLevel="1">
      <c r="A167" s="1"/>
      <c r="B167" s="86" t="s">
        <v>118</v>
      </c>
      <c r="C167" s="1"/>
      <c r="D167" s="1"/>
      <c r="E167" s="59">
        <v>10.0</v>
      </c>
      <c r="F167" s="59">
        <v>13.0</v>
      </c>
      <c r="G167" s="59">
        <v>20.0</v>
      </c>
      <c r="H167" s="59">
        <v>24.0</v>
      </c>
      <c r="I167" s="59">
        <v>30.0</v>
      </c>
      <c r="J167" s="16">
        <f>J168*(J154+J159+J147+J144)</f>
        <v>51.70833333</v>
      </c>
      <c r="K167" s="16">
        <f t="shared" ref="K167:AG167" si="243">K168*(K154+K159)</f>
        <v>21</v>
      </c>
      <c r="L167" s="16">
        <f t="shared" si="243"/>
        <v>21</v>
      </c>
      <c r="M167" s="16">
        <f t="shared" si="243"/>
        <v>21</v>
      </c>
      <c r="N167" s="16">
        <f t="shared" si="243"/>
        <v>21</v>
      </c>
      <c r="O167" s="16">
        <f t="shared" si="243"/>
        <v>22.3125</v>
      </c>
      <c r="P167" s="16">
        <f t="shared" si="243"/>
        <v>24.9375</v>
      </c>
      <c r="Q167" s="16">
        <f t="shared" si="243"/>
        <v>26.25</v>
      </c>
      <c r="R167" s="16">
        <f t="shared" si="243"/>
        <v>26.25</v>
      </c>
      <c r="S167" s="16">
        <f t="shared" si="243"/>
        <v>26.25</v>
      </c>
      <c r="T167" s="16">
        <f t="shared" si="243"/>
        <v>26.25</v>
      </c>
      <c r="U167" s="16">
        <f t="shared" si="243"/>
        <v>26.25</v>
      </c>
      <c r="V167" s="16">
        <f t="shared" si="243"/>
        <v>31.093125</v>
      </c>
      <c r="W167" s="16">
        <f t="shared" si="243"/>
        <v>35.14875</v>
      </c>
      <c r="X167" s="16">
        <f t="shared" si="243"/>
        <v>35.14875</v>
      </c>
      <c r="Y167" s="16">
        <f t="shared" si="243"/>
        <v>36.500625</v>
      </c>
      <c r="Z167" s="16">
        <f t="shared" si="243"/>
        <v>37.8525</v>
      </c>
      <c r="AA167" s="16">
        <f t="shared" si="243"/>
        <v>37.8525</v>
      </c>
      <c r="AB167" s="16">
        <f t="shared" si="243"/>
        <v>40.55625</v>
      </c>
      <c r="AC167" s="16">
        <f t="shared" si="243"/>
        <v>43.26</v>
      </c>
      <c r="AD167" s="16">
        <f t="shared" si="243"/>
        <v>43.26</v>
      </c>
      <c r="AE167" s="16">
        <f t="shared" si="243"/>
        <v>44.611875</v>
      </c>
      <c r="AF167" s="16">
        <f t="shared" si="243"/>
        <v>45.96375</v>
      </c>
      <c r="AG167" s="16">
        <f t="shared" si="243"/>
        <v>45.96375</v>
      </c>
      <c r="AH167" s="4"/>
      <c r="AI167" s="4"/>
      <c r="AJ167" s="27">
        <f>SUM(J167:U167)</f>
        <v>314.2083333</v>
      </c>
      <c r="AK167" s="27">
        <f>SUM(V167:AG167)</f>
        <v>477.211875</v>
      </c>
      <c r="AL167" s="16">
        <f t="shared" ref="AL167:AN167" si="244">AL168*(AL154+AL159)</f>
        <v>880.7127656</v>
      </c>
      <c r="AM167" s="16">
        <f t="shared" si="244"/>
        <v>1566.150973</v>
      </c>
      <c r="AN167" s="16">
        <f t="shared" si="244"/>
        <v>2127.211651</v>
      </c>
      <c r="AO167" s="1"/>
      <c r="AP167" s="1"/>
    </row>
    <row r="168" ht="12.75" hidden="1" customHeight="1" outlineLevel="1">
      <c r="A168" s="1"/>
      <c r="B168" s="52" t="s">
        <v>117</v>
      </c>
      <c r="C168" s="1"/>
      <c r="D168" s="1"/>
      <c r="E168" s="128">
        <f t="shared" ref="E168:I168" si="245">E167/SUM(E154,E159,E147,E140)</f>
        <v>0.08275862069</v>
      </c>
      <c r="F168" s="128">
        <f t="shared" si="245"/>
        <v>0.0975</v>
      </c>
      <c r="G168" s="128">
        <f t="shared" si="245"/>
        <v>0.1371428571</v>
      </c>
      <c r="H168" s="128">
        <f t="shared" si="245"/>
        <v>0.1645714286</v>
      </c>
      <c r="I168" s="128">
        <f t="shared" si="245"/>
        <v>0.2057142857</v>
      </c>
      <c r="J168" s="137">
        <v>0.2</v>
      </c>
      <c r="K168" s="129">
        <f t="shared" ref="K168:AG168" si="246">J168</f>
        <v>0.2</v>
      </c>
      <c r="L168" s="129">
        <f t="shared" si="246"/>
        <v>0.2</v>
      </c>
      <c r="M168" s="129">
        <f t="shared" si="246"/>
        <v>0.2</v>
      </c>
      <c r="N168" s="129">
        <f t="shared" si="246"/>
        <v>0.2</v>
      </c>
      <c r="O168" s="129">
        <f t="shared" si="246"/>
        <v>0.2</v>
      </c>
      <c r="P168" s="129">
        <f t="shared" si="246"/>
        <v>0.2</v>
      </c>
      <c r="Q168" s="129">
        <f t="shared" si="246"/>
        <v>0.2</v>
      </c>
      <c r="R168" s="129">
        <f t="shared" si="246"/>
        <v>0.2</v>
      </c>
      <c r="S168" s="129">
        <f t="shared" si="246"/>
        <v>0.2</v>
      </c>
      <c r="T168" s="129">
        <f t="shared" si="246"/>
        <v>0.2</v>
      </c>
      <c r="U168" s="129">
        <f t="shared" si="246"/>
        <v>0.2</v>
      </c>
      <c r="V168" s="129">
        <f t="shared" si="246"/>
        <v>0.2</v>
      </c>
      <c r="W168" s="129">
        <f t="shared" si="246"/>
        <v>0.2</v>
      </c>
      <c r="X168" s="129">
        <f t="shared" si="246"/>
        <v>0.2</v>
      </c>
      <c r="Y168" s="129">
        <f t="shared" si="246"/>
        <v>0.2</v>
      </c>
      <c r="Z168" s="129">
        <f t="shared" si="246"/>
        <v>0.2</v>
      </c>
      <c r="AA168" s="129">
        <f t="shared" si="246"/>
        <v>0.2</v>
      </c>
      <c r="AB168" s="129">
        <f t="shared" si="246"/>
        <v>0.2</v>
      </c>
      <c r="AC168" s="129">
        <f t="shared" si="246"/>
        <v>0.2</v>
      </c>
      <c r="AD168" s="129">
        <f t="shared" si="246"/>
        <v>0.2</v>
      </c>
      <c r="AE168" s="129">
        <f t="shared" si="246"/>
        <v>0.2</v>
      </c>
      <c r="AF168" s="129">
        <f t="shared" si="246"/>
        <v>0.2</v>
      </c>
      <c r="AG168" s="129">
        <f t="shared" si="246"/>
        <v>0.2</v>
      </c>
      <c r="AH168" s="4"/>
      <c r="AI168" s="4"/>
      <c r="AJ168" s="129">
        <f t="shared" ref="AJ168:AK168" si="247">AJ167/(AJ154+AJ159)</f>
        <v>0.2237353508</v>
      </c>
      <c r="AK168" s="129">
        <f t="shared" si="247"/>
        <v>0.2</v>
      </c>
      <c r="AL168" s="137">
        <v>0.2</v>
      </c>
      <c r="AM168" s="137">
        <v>0.2</v>
      </c>
      <c r="AN168" s="137">
        <v>0.2</v>
      </c>
      <c r="AO168" s="1"/>
      <c r="AP168" s="1"/>
    </row>
    <row r="169" ht="12.75" hidden="1" customHeight="1" outlineLevel="1">
      <c r="A169" s="1"/>
      <c r="B169" s="86"/>
      <c r="C169" s="1"/>
      <c r="D169" s="1"/>
      <c r="E169" s="24"/>
      <c r="F169" s="24"/>
      <c r="G169" s="24"/>
      <c r="H169" s="24"/>
      <c r="I169" s="2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4"/>
      <c r="AI169" s="4"/>
      <c r="AJ169" s="1"/>
      <c r="AK169" s="1"/>
      <c r="AL169" s="1"/>
      <c r="AM169" s="1"/>
      <c r="AN169" s="1"/>
      <c r="AO169" s="1"/>
      <c r="AP169" s="1"/>
    </row>
    <row r="170" ht="12.75" hidden="1" customHeight="1" outlineLevel="1">
      <c r="A170" s="1"/>
      <c r="B170" s="86" t="s">
        <v>119</v>
      </c>
      <c r="C170" s="1"/>
      <c r="D170" s="1"/>
      <c r="E170" s="59">
        <v>50.0</v>
      </c>
      <c r="F170" s="59">
        <v>20.0</v>
      </c>
      <c r="G170" s="59">
        <v>10.0</v>
      </c>
      <c r="H170" s="59">
        <v>10.0</v>
      </c>
      <c r="I170" s="59">
        <v>10.0</v>
      </c>
      <c r="J170" s="16">
        <f t="shared" ref="J170:AG170" si="248">I170*(1+J171)</f>
        <v>10.3</v>
      </c>
      <c r="K170" s="16">
        <f t="shared" si="248"/>
        <v>10.609</v>
      </c>
      <c r="L170" s="16">
        <f t="shared" si="248"/>
        <v>10.92727</v>
      </c>
      <c r="M170" s="16">
        <f t="shared" si="248"/>
        <v>11.2550881</v>
      </c>
      <c r="N170" s="16">
        <f t="shared" si="248"/>
        <v>11.59274074</v>
      </c>
      <c r="O170" s="16">
        <f t="shared" si="248"/>
        <v>11.94052297</v>
      </c>
      <c r="P170" s="16">
        <f t="shared" si="248"/>
        <v>12.29873865</v>
      </c>
      <c r="Q170" s="16">
        <f t="shared" si="248"/>
        <v>12.66770081</v>
      </c>
      <c r="R170" s="16">
        <f t="shared" si="248"/>
        <v>13.04773184</v>
      </c>
      <c r="S170" s="16">
        <f t="shared" si="248"/>
        <v>13.43916379</v>
      </c>
      <c r="T170" s="16">
        <f t="shared" si="248"/>
        <v>13.84233871</v>
      </c>
      <c r="U170" s="16">
        <f t="shared" si="248"/>
        <v>14.25760887</v>
      </c>
      <c r="V170" s="16">
        <f t="shared" si="248"/>
        <v>14.68533713</v>
      </c>
      <c r="W170" s="16">
        <f t="shared" si="248"/>
        <v>15.12589725</v>
      </c>
      <c r="X170" s="16">
        <f t="shared" si="248"/>
        <v>15.57967417</v>
      </c>
      <c r="Y170" s="16">
        <f t="shared" si="248"/>
        <v>16.04706439</v>
      </c>
      <c r="Z170" s="16">
        <f t="shared" si="248"/>
        <v>16.52847632</v>
      </c>
      <c r="AA170" s="16">
        <f t="shared" si="248"/>
        <v>17.02433061</v>
      </c>
      <c r="AB170" s="16">
        <f t="shared" si="248"/>
        <v>17.53506053</v>
      </c>
      <c r="AC170" s="16">
        <f t="shared" si="248"/>
        <v>18.06111235</v>
      </c>
      <c r="AD170" s="16">
        <f t="shared" si="248"/>
        <v>18.60294572</v>
      </c>
      <c r="AE170" s="16">
        <f t="shared" si="248"/>
        <v>19.16103409</v>
      </c>
      <c r="AF170" s="16">
        <f t="shared" si="248"/>
        <v>19.73586511</v>
      </c>
      <c r="AG170" s="16">
        <f t="shared" si="248"/>
        <v>20.32794106</v>
      </c>
      <c r="AH170" s="4"/>
      <c r="AI170" s="4"/>
      <c r="AJ170" s="27">
        <f>SUM(J170:U170)</f>
        <v>146.1779045</v>
      </c>
      <c r="AK170" s="27">
        <f>SUM(V170:AG170)</f>
        <v>208.4147387</v>
      </c>
      <c r="AL170" s="27">
        <f t="shared" ref="AL170:AN170" si="249">AK170*(1+AL171)</f>
        <v>239.6769495</v>
      </c>
      <c r="AM170" s="27">
        <f t="shared" si="249"/>
        <v>263.6446445</v>
      </c>
      <c r="AN170" s="27">
        <f t="shared" si="249"/>
        <v>276.8268767</v>
      </c>
      <c r="AO170" s="1"/>
      <c r="AP170" s="1"/>
    </row>
    <row r="171" ht="12.75" hidden="1" customHeight="1" outlineLevel="1">
      <c r="A171" s="1"/>
      <c r="B171" s="52" t="s">
        <v>85</v>
      </c>
      <c r="C171" s="1"/>
      <c r="D171" s="1"/>
      <c r="E171" s="24"/>
      <c r="F171" s="128">
        <f t="shared" ref="F171:I171" si="250">F170/E170-1</f>
        <v>-0.6</v>
      </c>
      <c r="G171" s="128">
        <f t="shared" si="250"/>
        <v>-0.5</v>
      </c>
      <c r="H171" s="128">
        <f t="shared" si="250"/>
        <v>0</v>
      </c>
      <c r="I171" s="128">
        <f t="shared" si="250"/>
        <v>0</v>
      </c>
      <c r="J171" s="137">
        <v>0.03</v>
      </c>
      <c r="K171" s="129">
        <f t="shared" ref="K171:AG171" si="251">J171</f>
        <v>0.03</v>
      </c>
      <c r="L171" s="129">
        <f t="shared" si="251"/>
        <v>0.03</v>
      </c>
      <c r="M171" s="129">
        <f t="shared" si="251"/>
        <v>0.03</v>
      </c>
      <c r="N171" s="129">
        <f t="shared" si="251"/>
        <v>0.03</v>
      </c>
      <c r="O171" s="129">
        <f t="shared" si="251"/>
        <v>0.03</v>
      </c>
      <c r="P171" s="129">
        <f t="shared" si="251"/>
        <v>0.03</v>
      </c>
      <c r="Q171" s="129">
        <f t="shared" si="251"/>
        <v>0.03</v>
      </c>
      <c r="R171" s="129">
        <f t="shared" si="251"/>
        <v>0.03</v>
      </c>
      <c r="S171" s="129">
        <f t="shared" si="251"/>
        <v>0.03</v>
      </c>
      <c r="T171" s="129">
        <f t="shared" si="251"/>
        <v>0.03</v>
      </c>
      <c r="U171" s="129">
        <f t="shared" si="251"/>
        <v>0.03</v>
      </c>
      <c r="V171" s="129">
        <f t="shared" si="251"/>
        <v>0.03</v>
      </c>
      <c r="W171" s="129">
        <f t="shared" si="251"/>
        <v>0.03</v>
      </c>
      <c r="X171" s="129">
        <f t="shared" si="251"/>
        <v>0.03</v>
      </c>
      <c r="Y171" s="129">
        <f t="shared" si="251"/>
        <v>0.03</v>
      </c>
      <c r="Z171" s="129">
        <f t="shared" si="251"/>
        <v>0.03</v>
      </c>
      <c r="AA171" s="129">
        <f t="shared" si="251"/>
        <v>0.03</v>
      </c>
      <c r="AB171" s="129">
        <f t="shared" si="251"/>
        <v>0.03</v>
      </c>
      <c r="AC171" s="129">
        <f t="shared" si="251"/>
        <v>0.03</v>
      </c>
      <c r="AD171" s="129">
        <f t="shared" si="251"/>
        <v>0.03</v>
      </c>
      <c r="AE171" s="129">
        <f t="shared" si="251"/>
        <v>0.03</v>
      </c>
      <c r="AF171" s="129">
        <f t="shared" si="251"/>
        <v>0.03</v>
      </c>
      <c r="AG171" s="129">
        <f t="shared" si="251"/>
        <v>0.03</v>
      </c>
      <c r="AH171" s="4"/>
      <c r="AI171" s="4"/>
      <c r="AJ171" s="1"/>
      <c r="AK171" s="129">
        <f>AK170/AJ170-1</f>
        <v>0.4257608868</v>
      </c>
      <c r="AL171" s="137">
        <v>0.15</v>
      </c>
      <c r="AM171" s="137">
        <v>0.1</v>
      </c>
      <c r="AN171" s="137">
        <v>0.05</v>
      </c>
      <c r="AO171" s="1"/>
      <c r="AP171" s="1"/>
    </row>
    <row r="172" ht="12.75" hidden="1" customHeight="1" outlineLevel="1">
      <c r="A172" s="1"/>
      <c r="B172" s="86"/>
      <c r="C172" s="1"/>
      <c r="D172" s="1"/>
      <c r="E172" s="24"/>
      <c r="F172" s="24"/>
      <c r="G172" s="24"/>
      <c r="H172" s="24"/>
      <c r="I172" s="2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4"/>
      <c r="AI172" s="4"/>
      <c r="AJ172" s="1"/>
      <c r="AK172" s="1"/>
      <c r="AL172" s="1"/>
      <c r="AM172" s="1"/>
      <c r="AN172" s="1"/>
      <c r="AO172" s="1"/>
      <c r="AP172" s="1"/>
    </row>
    <row r="173" ht="12.75" hidden="1" customHeight="1" outlineLevel="1">
      <c r="A173" s="1"/>
      <c r="B173" s="86" t="s">
        <v>120</v>
      </c>
      <c r="C173" s="1"/>
      <c r="D173" s="1"/>
      <c r="E173" s="59">
        <v>2.0</v>
      </c>
      <c r="F173" s="59">
        <v>2.0</v>
      </c>
      <c r="G173" s="59">
        <v>2.0</v>
      </c>
      <c r="H173" s="59">
        <v>2.0</v>
      </c>
      <c r="I173" s="59">
        <v>2.0</v>
      </c>
      <c r="J173" s="16">
        <f>J174*(J154+J159+J147+J144)</f>
        <v>7.75625</v>
      </c>
      <c r="K173" s="16">
        <f t="shared" ref="K173:AG173" si="252">K174*(K154+K159)</f>
        <v>3.15</v>
      </c>
      <c r="L173" s="16">
        <f t="shared" si="252"/>
        <v>3.15</v>
      </c>
      <c r="M173" s="16">
        <f t="shared" si="252"/>
        <v>3.15</v>
      </c>
      <c r="N173" s="16">
        <f t="shared" si="252"/>
        <v>3.15</v>
      </c>
      <c r="O173" s="16">
        <f t="shared" si="252"/>
        <v>3.346875</v>
      </c>
      <c r="P173" s="16">
        <f t="shared" si="252"/>
        <v>3.740625</v>
      </c>
      <c r="Q173" s="16">
        <f t="shared" si="252"/>
        <v>3.9375</v>
      </c>
      <c r="R173" s="16">
        <f t="shared" si="252"/>
        <v>3.9375</v>
      </c>
      <c r="S173" s="16">
        <f t="shared" si="252"/>
        <v>3.9375</v>
      </c>
      <c r="T173" s="16">
        <f t="shared" si="252"/>
        <v>3.9375</v>
      </c>
      <c r="U173" s="16">
        <f t="shared" si="252"/>
        <v>3.9375</v>
      </c>
      <c r="V173" s="16">
        <f t="shared" si="252"/>
        <v>4.66396875</v>
      </c>
      <c r="W173" s="16">
        <f t="shared" si="252"/>
        <v>5.2723125</v>
      </c>
      <c r="X173" s="16">
        <f t="shared" si="252"/>
        <v>5.2723125</v>
      </c>
      <c r="Y173" s="16">
        <f t="shared" si="252"/>
        <v>5.47509375</v>
      </c>
      <c r="Z173" s="16">
        <f t="shared" si="252"/>
        <v>5.677875</v>
      </c>
      <c r="AA173" s="16">
        <f t="shared" si="252"/>
        <v>5.677875</v>
      </c>
      <c r="AB173" s="16">
        <f t="shared" si="252"/>
        <v>6.0834375</v>
      </c>
      <c r="AC173" s="16">
        <f t="shared" si="252"/>
        <v>6.489</v>
      </c>
      <c r="AD173" s="16">
        <f t="shared" si="252"/>
        <v>6.489</v>
      </c>
      <c r="AE173" s="16">
        <f t="shared" si="252"/>
        <v>6.69178125</v>
      </c>
      <c r="AF173" s="16">
        <f t="shared" si="252"/>
        <v>6.8945625</v>
      </c>
      <c r="AG173" s="16">
        <f t="shared" si="252"/>
        <v>6.8945625</v>
      </c>
      <c r="AH173" s="4"/>
      <c r="AI173" s="4"/>
      <c r="AJ173" s="27">
        <f>SUM(J173:U173)</f>
        <v>47.13125</v>
      </c>
      <c r="AK173" s="27">
        <f>SUM(V173:AG173)</f>
        <v>71.58178125</v>
      </c>
      <c r="AL173" s="16">
        <f t="shared" ref="AL173:AN173" si="253">AL174*(AL154+AL159)</f>
        <v>132.1069148</v>
      </c>
      <c r="AM173" s="16">
        <f t="shared" si="253"/>
        <v>234.9226459</v>
      </c>
      <c r="AN173" s="16">
        <f t="shared" si="253"/>
        <v>319.0817476</v>
      </c>
      <c r="AO173" s="1"/>
      <c r="AP173" s="1"/>
    </row>
    <row r="174" ht="12.75" hidden="1" customHeight="1" outlineLevel="1">
      <c r="A174" s="1"/>
      <c r="B174" s="52" t="s">
        <v>117</v>
      </c>
      <c r="C174" s="1"/>
      <c r="D174" s="1"/>
      <c r="E174" s="128">
        <f t="shared" ref="E174:I174" si="254">E173/(E154+E159)</f>
        <v>0.05333333333</v>
      </c>
      <c r="F174" s="128">
        <f t="shared" si="254"/>
        <v>0.04</v>
      </c>
      <c r="G174" s="128">
        <f t="shared" si="254"/>
        <v>0.032</v>
      </c>
      <c r="H174" s="128">
        <f t="shared" si="254"/>
        <v>0.032</v>
      </c>
      <c r="I174" s="128">
        <f t="shared" si="254"/>
        <v>0.032</v>
      </c>
      <c r="J174" s="137">
        <v>0.03</v>
      </c>
      <c r="K174" s="129">
        <f t="shared" ref="K174:AG174" si="255">J174</f>
        <v>0.03</v>
      </c>
      <c r="L174" s="129">
        <f t="shared" si="255"/>
        <v>0.03</v>
      </c>
      <c r="M174" s="129">
        <f t="shared" si="255"/>
        <v>0.03</v>
      </c>
      <c r="N174" s="129">
        <f t="shared" si="255"/>
        <v>0.03</v>
      </c>
      <c r="O174" s="129">
        <f t="shared" si="255"/>
        <v>0.03</v>
      </c>
      <c r="P174" s="129">
        <f t="shared" si="255"/>
        <v>0.03</v>
      </c>
      <c r="Q174" s="129">
        <f t="shared" si="255"/>
        <v>0.03</v>
      </c>
      <c r="R174" s="129">
        <f t="shared" si="255"/>
        <v>0.03</v>
      </c>
      <c r="S174" s="129">
        <f t="shared" si="255"/>
        <v>0.03</v>
      </c>
      <c r="T174" s="129">
        <f t="shared" si="255"/>
        <v>0.03</v>
      </c>
      <c r="U174" s="129">
        <f t="shared" si="255"/>
        <v>0.03</v>
      </c>
      <c r="V174" s="129">
        <f t="shared" si="255"/>
        <v>0.03</v>
      </c>
      <c r="W174" s="129">
        <f t="shared" si="255"/>
        <v>0.03</v>
      </c>
      <c r="X174" s="129">
        <f t="shared" si="255"/>
        <v>0.03</v>
      </c>
      <c r="Y174" s="129">
        <f t="shared" si="255"/>
        <v>0.03</v>
      </c>
      <c r="Z174" s="129">
        <f t="shared" si="255"/>
        <v>0.03</v>
      </c>
      <c r="AA174" s="129">
        <f t="shared" si="255"/>
        <v>0.03</v>
      </c>
      <c r="AB174" s="129">
        <f t="shared" si="255"/>
        <v>0.03</v>
      </c>
      <c r="AC174" s="129">
        <f t="shared" si="255"/>
        <v>0.03</v>
      </c>
      <c r="AD174" s="129">
        <f t="shared" si="255"/>
        <v>0.03</v>
      </c>
      <c r="AE174" s="129">
        <f t="shared" si="255"/>
        <v>0.03</v>
      </c>
      <c r="AF174" s="129">
        <f t="shared" si="255"/>
        <v>0.03</v>
      </c>
      <c r="AG174" s="129">
        <f t="shared" si="255"/>
        <v>0.03</v>
      </c>
      <c r="AH174" s="4"/>
      <c r="AI174" s="4"/>
      <c r="AJ174" s="129">
        <f t="shared" ref="AJ174:AK174" si="256">AJ173/(AJ154+AJ159)</f>
        <v>0.03356030263</v>
      </c>
      <c r="AK174" s="129">
        <f t="shared" si="256"/>
        <v>0.03</v>
      </c>
      <c r="AL174" s="137">
        <v>0.03</v>
      </c>
      <c r="AM174" s="137">
        <v>0.03</v>
      </c>
      <c r="AN174" s="137">
        <v>0.03</v>
      </c>
      <c r="AO174" s="1"/>
      <c r="AP174" s="1"/>
    </row>
    <row r="175" ht="12.75" hidden="1" customHeight="1" outlineLevel="1">
      <c r="A175" s="1"/>
      <c r="B175" s="86"/>
      <c r="C175" s="1"/>
      <c r="D175" s="1"/>
      <c r="E175" s="24"/>
      <c r="F175" s="24"/>
      <c r="G175" s="24"/>
      <c r="H175" s="24"/>
      <c r="I175" s="2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4"/>
      <c r="AI175" s="4"/>
      <c r="AJ175" s="1"/>
      <c r="AK175" s="1"/>
      <c r="AL175" s="1"/>
      <c r="AM175" s="1"/>
      <c r="AN175" s="1"/>
      <c r="AO175" s="1"/>
      <c r="AP175" s="1"/>
    </row>
    <row r="176" ht="12.75" hidden="1" customHeight="1" outlineLevel="1">
      <c r="A176" s="1"/>
      <c r="B176" s="86" t="s">
        <v>121</v>
      </c>
      <c r="C176" s="1"/>
      <c r="D176" s="1"/>
      <c r="E176" s="59">
        <v>0.5</v>
      </c>
      <c r="F176" s="59">
        <v>0.5</v>
      </c>
      <c r="G176" s="59">
        <v>0.5</v>
      </c>
      <c r="H176" s="59">
        <v>0.5</v>
      </c>
      <c r="I176" s="59">
        <v>0.5</v>
      </c>
      <c r="J176" s="16">
        <f t="shared" ref="J176:AG176" si="257">I176*(1+J177)</f>
        <v>0.515</v>
      </c>
      <c r="K176" s="16">
        <f t="shared" si="257"/>
        <v>0.53045</v>
      </c>
      <c r="L176" s="16">
        <f t="shared" si="257"/>
        <v>0.5463635</v>
      </c>
      <c r="M176" s="16">
        <f t="shared" si="257"/>
        <v>0.562754405</v>
      </c>
      <c r="N176" s="16">
        <f t="shared" si="257"/>
        <v>0.5796370372</v>
      </c>
      <c r="O176" s="16">
        <f t="shared" si="257"/>
        <v>0.5970261483</v>
      </c>
      <c r="P176" s="16">
        <f t="shared" si="257"/>
        <v>0.6149369327</v>
      </c>
      <c r="Q176" s="16">
        <f t="shared" si="257"/>
        <v>0.6333850407</v>
      </c>
      <c r="R176" s="16">
        <f t="shared" si="257"/>
        <v>0.6523865919</v>
      </c>
      <c r="S176" s="16">
        <f t="shared" si="257"/>
        <v>0.6719581897</v>
      </c>
      <c r="T176" s="16">
        <f t="shared" si="257"/>
        <v>0.6921169354</v>
      </c>
      <c r="U176" s="16">
        <f t="shared" si="257"/>
        <v>0.7128804434</v>
      </c>
      <c r="V176" s="16">
        <f t="shared" si="257"/>
        <v>0.7342668567</v>
      </c>
      <c r="W176" s="16">
        <f t="shared" si="257"/>
        <v>0.7562948624</v>
      </c>
      <c r="X176" s="16">
        <f t="shared" si="257"/>
        <v>0.7789837083</v>
      </c>
      <c r="Y176" s="16">
        <f t="shared" si="257"/>
        <v>0.8023532195</v>
      </c>
      <c r="Z176" s="16">
        <f t="shared" si="257"/>
        <v>0.8264238161</v>
      </c>
      <c r="AA176" s="16">
        <f t="shared" si="257"/>
        <v>0.8512165306</v>
      </c>
      <c r="AB176" s="16">
        <f t="shared" si="257"/>
        <v>0.8767530265</v>
      </c>
      <c r="AC176" s="16">
        <f t="shared" si="257"/>
        <v>0.9030556173</v>
      </c>
      <c r="AD176" s="16">
        <f t="shared" si="257"/>
        <v>0.9301472859</v>
      </c>
      <c r="AE176" s="16">
        <f t="shared" si="257"/>
        <v>0.9580517044</v>
      </c>
      <c r="AF176" s="16">
        <f t="shared" si="257"/>
        <v>0.9867932556</v>
      </c>
      <c r="AG176" s="16">
        <f t="shared" si="257"/>
        <v>1.016397053</v>
      </c>
      <c r="AH176" s="4"/>
      <c r="AI176" s="4"/>
      <c r="AJ176" s="27">
        <f>SUM(J176:U176)</f>
        <v>7.308895224</v>
      </c>
      <c r="AK176" s="27">
        <f>SUM(V176:AG176)</f>
        <v>10.42073694</v>
      </c>
      <c r="AL176" s="27">
        <f t="shared" ref="AL176:AN176" si="258">AK176*(1+AL177)</f>
        <v>11.98384748</v>
      </c>
      <c r="AM176" s="27">
        <f t="shared" si="258"/>
        <v>13.18223222</v>
      </c>
      <c r="AN176" s="27">
        <f t="shared" si="258"/>
        <v>13.84134384</v>
      </c>
      <c r="AO176" s="1"/>
      <c r="AP176" s="1"/>
    </row>
    <row r="177" ht="12.75" hidden="1" customHeight="1" outlineLevel="1">
      <c r="A177" s="1"/>
      <c r="B177" s="52" t="s">
        <v>85</v>
      </c>
      <c r="C177" s="1"/>
      <c r="D177" s="1"/>
      <c r="E177" s="24"/>
      <c r="F177" s="128">
        <f t="shared" ref="F177:I177" si="259">F176/E176-1</f>
        <v>0</v>
      </c>
      <c r="G177" s="128">
        <f t="shared" si="259"/>
        <v>0</v>
      </c>
      <c r="H177" s="128">
        <f t="shared" si="259"/>
        <v>0</v>
      </c>
      <c r="I177" s="128">
        <f t="shared" si="259"/>
        <v>0</v>
      </c>
      <c r="J177" s="137">
        <v>0.03</v>
      </c>
      <c r="K177" s="129">
        <f t="shared" ref="K177:AG177" si="260">J177</f>
        <v>0.03</v>
      </c>
      <c r="L177" s="129">
        <f t="shared" si="260"/>
        <v>0.03</v>
      </c>
      <c r="M177" s="129">
        <f t="shared" si="260"/>
        <v>0.03</v>
      </c>
      <c r="N177" s="129">
        <f t="shared" si="260"/>
        <v>0.03</v>
      </c>
      <c r="O177" s="129">
        <f t="shared" si="260"/>
        <v>0.03</v>
      </c>
      <c r="P177" s="129">
        <f t="shared" si="260"/>
        <v>0.03</v>
      </c>
      <c r="Q177" s="129">
        <f t="shared" si="260"/>
        <v>0.03</v>
      </c>
      <c r="R177" s="129">
        <f t="shared" si="260"/>
        <v>0.03</v>
      </c>
      <c r="S177" s="129">
        <f t="shared" si="260"/>
        <v>0.03</v>
      </c>
      <c r="T177" s="129">
        <f t="shared" si="260"/>
        <v>0.03</v>
      </c>
      <c r="U177" s="129">
        <f t="shared" si="260"/>
        <v>0.03</v>
      </c>
      <c r="V177" s="129">
        <f t="shared" si="260"/>
        <v>0.03</v>
      </c>
      <c r="W177" s="129">
        <f t="shared" si="260"/>
        <v>0.03</v>
      </c>
      <c r="X177" s="129">
        <f t="shared" si="260"/>
        <v>0.03</v>
      </c>
      <c r="Y177" s="129">
        <f t="shared" si="260"/>
        <v>0.03</v>
      </c>
      <c r="Z177" s="129">
        <f t="shared" si="260"/>
        <v>0.03</v>
      </c>
      <c r="AA177" s="129">
        <f t="shared" si="260"/>
        <v>0.03</v>
      </c>
      <c r="AB177" s="129">
        <f t="shared" si="260"/>
        <v>0.03</v>
      </c>
      <c r="AC177" s="129">
        <f t="shared" si="260"/>
        <v>0.03</v>
      </c>
      <c r="AD177" s="129">
        <f t="shared" si="260"/>
        <v>0.03</v>
      </c>
      <c r="AE177" s="129">
        <f t="shared" si="260"/>
        <v>0.03</v>
      </c>
      <c r="AF177" s="129">
        <f t="shared" si="260"/>
        <v>0.03</v>
      </c>
      <c r="AG177" s="129">
        <f t="shared" si="260"/>
        <v>0.03</v>
      </c>
      <c r="AH177" s="4"/>
      <c r="AI177" s="4"/>
      <c r="AJ177" s="1"/>
      <c r="AK177" s="129">
        <f>AK176/AJ176-1</f>
        <v>0.4257608868</v>
      </c>
      <c r="AL177" s="137">
        <v>0.15</v>
      </c>
      <c r="AM177" s="137">
        <v>0.1</v>
      </c>
      <c r="AN177" s="137">
        <v>0.05</v>
      </c>
      <c r="AO177" s="1"/>
      <c r="AP177" s="1"/>
    </row>
    <row r="178" ht="12.75" hidden="1" customHeight="1" outlineLevel="1">
      <c r="A178" s="1"/>
      <c r="B178" s="86"/>
      <c r="C178" s="1"/>
      <c r="D178" s="1"/>
      <c r="E178" s="24"/>
      <c r="F178" s="24"/>
      <c r="G178" s="24"/>
      <c r="H178" s="24"/>
      <c r="I178" s="2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4"/>
      <c r="AI178" s="4"/>
      <c r="AJ178" s="1"/>
      <c r="AK178" s="1"/>
      <c r="AL178" s="1"/>
      <c r="AM178" s="1"/>
      <c r="AN178" s="1"/>
      <c r="AO178" s="1"/>
      <c r="AP178" s="1"/>
    </row>
    <row r="179" ht="12.75" hidden="1" customHeight="1" outlineLevel="1">
      <c r="A179" s="1"/>
      <c r="B179" s="86" t="s">
        <v>122</v>
      </c>
      <c r="C179" s="1"/>
      <c r="D179" s="1"/>
      <c r="E179" s="59">
        <v>1.0</v>
      </c>
      <c r="F179" s="59">
        <v>1.0</v>
      </c>
      <c r="G179" s="59">
        <v>1.0</v>
      </c>
      <c r="H179" s="59">
        <v>1.0</v>
      </c>
      <c r="I179" s="59">
        <v>1.0</v>
      </c>
      <c r="J179" s="16">
        <f t="shared" ref="J179:AG179" si="261">I179*(1+J180)</f>
        <v>1.03</v>
      </c>
      <c r="K179" s="16">
        <f t="shared" si="261"/>
        <v>1.0609</v>
      </c>
      <c r="L179" s="16">
        <f t="shared" si="261"/>
        <v>1.092727</v>
      </c>
      <c r="M179" s="16">
        <f t="shared" si="261"/>
        <v>1.12550881</v>
      </c>
      <c r="N179" s="16">
        <f t="shared" si="261"/>
        <v>1.159274074</v>
      </c>
      <c r="O179" s="16">
        <f t="shared" si="261"/>
        <v>1.194052297</v>
      </c>
      <c r="P179" s="16">
        <f t="shared" si="261"/>
        <v>1.229873865</v>
      </c>
      <c r="Q179" s="16">
        <f t="shared" si="261"/>
        <v>1.266770081</v>
      </c>
      <c r="R179" s="16">
        <f t="shared" si="261"/>
        <v>1.304773184</v>
      </c>
      <c r="S179" s="16">
        <f t="shared" si="261"/>
        <v>1.343916379</v>
      </c>
      <c r="T179" s="16">
        <f t="shared" si="261"/>
        <v>1.384233871</v>
      </c>
      <c r="U179" s="16">
        <f t="shared" si="261"/>
        <v>1.425760887</v>
      </c>
      <c r="V179" s="16">
        <f t="shared" si="261"/>
        <v>1.468533713</v>
      </c>
      <c r="W179" s="16">
        <f t="shared" si="261"/>
        <v>1.512589725</v>
      </c>
      <c r="X179" s="16">
        <f t="shared" si="261"/>
        <v>1.557967417</v>
      </c>
      <c r="Y179" s="16">
        <f t="shared" si="261"/>
        <v>1.604706439</v>
      </c>
      <c r="Z179" s="16">
        <f t="shared" si="261"/>
        <v>1.652847632</v>
      </c>
      <c r="AA179" s="16">
        <f t="shared" si="261"/>
        <v>1.702433061</v>
      </c>
      <c r="AB179" s="16">
        <f t="shared" si="261"/>
        <v>1.753506053</v>
      </c>
      <c r="AC179" s="16">
        <f t="shared" si="261"/>
        <v>1.806111235</v>
      </c>
      <c r="AD179" s="16">
        <f t="shared" si="261"/>
        <v>1.860294572</v>
      </c>
      <c r="AE179" s="16">
        <f t="shared" si="261"/>
        <v>1.916103409</v>
      </c>
      <c r="AF179" s="16">
        <f t="shared" si="261"/>
        <v>1.973586511</v>
      </c>
      <c r="AG179" s="16">
        <f t="shared" si="261"/>
        <v>2.032794106</v>
      </c>
      <c r="AH179" s="4"/>
      <c r="AI179" s="4"/>
      <c r="AJ179" s="27">
        <f>SUM(J179:U179)</f>
        <v>14.61779045</v>
      </c>
      <c r="AK179" s="27">
        <f>SUM(V179:AG179)</f>
        <v>20.84147387</v>
      </c>
      <c r="AL179" s="27">
        <f t="shared" ref="AL179:AN179" si="262">AK179*(1+AL180)</f>
        <v>23.96769495</v>
      </c>
      <c r="AM179" s="27">
        <f t="shared" si="262"/>
        <v>26.36446445</v>
      </c>
      <c r="AN179" s="27">
        <f t="shared" si="262"/>
        <v>27.68268767</v>
      </c>
      <c r="AO179" s="1"/>
      <c r="AP179" s="1"/>
    </row>
    <row r="180" ht="12.75" hidden="1" customHeight="1" outlineLevel="1">
      <c r="A180" s="1"/>
      <c r="B180" s="52" t="s">
        <v>85</v>
      </c>
      <c r="C180" s="1"/>
      <c r="D180" s="1"/>
      <c r="E180" s="24"/>
      <c r="F180" s="128">
        <f t="shared" ref="F180:I180" si="263">F179/E179-1</f>
        <v>0</v>
      </c>
      <c r="G180" s="128">
        <f t="shared" si="263"/>
        <v>0</v>
      </c>
      <c r="H180" s="128">
        <f t="shared" si="263"/>
        <v>0</v>
      </c>
      <c r="I180" s="128">
        <f t="shared" si="263"/>
        <v>0</v>
      </c>
      <c r="J180" s="137">
        <v>0.03</v>
      </c>
      <c r="K180" s="129">
        <f t="shared" ref="K180:AG180" si="264">J180</f>
        <v>0.03</v>
      </c>
      <c r="L180" s="129">
        <f t="shared" si="264"/>
        <v>0.03</v>
      </c>
      <c r="M180" s="129">
        <f t="shared" si="264"/>
        <v>0.03</v>
      </c>
      <c r="N180" s="129">
        <f t="shared" si="264"/>
        <v>0.03</v>
      </c>
      <c r="O180" s="129">
        <f t="shared" si="264"/>
        <v>0.03</v>
      </c>
      <c r="P180" s="129">
        <f t="shared" si="264"/>
        <v>0.03</v>
      </c>
      <c r="Q180" s="129">
        <f t="shared" si="264"/>
        <v>0.03</v>
      </c>
      <c r="R180" s="129">
        <f t="shared" si="264"/>
        <v>0.03</v>
      </c>
      <c r="S180" s="129">
        <f t="shared" si="264"/>
        <v>0.03</v>
      </c>
      <c r="T180" s="129">
        <f t="shared" si="264"/>
        <v>0.03</v>
      </c>
      <c r="U180" s="129">
        <f t="shared" si="264"/>
        <v>0.03</v>
      </c>
      <c r="V180" s="129">
        <f t="shared" si="264"/>
        <v>0.03</v>
      </c>
      <c r="W180" s="129">
        <f t="shared" si="264"/>
        <v>0.03</v>
      </c>
      <c r="X180" s="129">
        <f t="shared" si="264"/>
        <v>0.03</v>
      </c>
      <c r="Y180" s="129">
        <f t="shared" si="264"/>
        <v>0.03</v>
      </c>
      <c r="Z180" s="129">
        <f t="shared" si="264"/>
        <v>0.03</v>
      </c>
      <c r="AA180" s="129">
        <f t="shared" si="264"/>
        <v>0.03</v>
      </c>
      <c r="AB180" s="129">
        <f t="shared" si="264"/>
        <v>0.03</v>
      </c>
      <c r="AC180" s="129">
        <f t="shared" si="264"/>
        <v>0.03</v>
      </c>
      <c r="AD180" s="129">
        <f t="shared" si="264"/>
        <v>0.03</v>
      </c>
      <c r="AE180" s="129">
        <f t="shared" si="264"/>
        <v>0.03</v>
      </c>
      <c r="AF180" s="129">
        <f t="shared" si="264"/>
        <v>0.03</v>
      </c>
      <c r="AG180" s="129">
        <f t="shared" si="264"/>
        <v>0.03</v>
      </c>
      <c r="AH180" s="4"/>
      <c r="AI180" s="4"/>
      <c r="AJ180" s="1"/>
      <c r="AK180" s="129">
        <f>AK179/AJ179-1</f>
        <v>0.4257608868</v>
      </c>
      <c r="AL180" s="137">
        <v>0.15</v>
      </c>
      <c r="AM180" s="137">
        <v>0.1</v>
      </c>
      <c r="AN180" s="137">
        <v>0.05</v>
      </c>
      <c r="AO180" s="1"/>
      <c r="AP180" s="1"/>
    </row>
    <row r="181" ht="12.75" hidden="1" customHeight="1" outlineLevel="1">
      <c r="A181" s="1"/>
      <c r="B181" s="86"/>
      <c r="C181" s="1"/>
      <c r="D181" s="1"/>
      <c r="E181" s="24"/>
      <c r="F181" s="24"/>
      <c r="G181" s="24"/>
      <c r="H181" s="24"/>
      <c r="I181" s="2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4"/>
      <c r="AI181" s="4"/>
      <c r="AJ181" s="1"/>
      <c r="AK181" s="1"/>
      <c r="AL181" s="1"/>
      <c r="AM181" s="1"/>
      <c r="AN181" s="1"/>
      <c r="AO181" s="1"/>
      <c r="AP181" s="1"/>
    </row>
    <row r="182" ht="12.75" hidden="1" customHeight="1" outlineLevel="1">
      <c r="A182" s="1"/>
      <c r="B182" s="86" t="s">
        <v>123</v>
      </c>
      <c r="C182" s="1"/>
      <c r="D182" s="1"/>
      <c r="E182" s="59">
        <v>1.0</v>
      </c>
      <c r="F182" s="59">
        <v>1.0</v>
      </c>
      <c r="G182" s="59">
        <v>1.0</v>
      </c>
      <c r="H182" s="59">
        <v>1.0</v>
      </c>
      <c r="I182" s="59">
        <v>1.0</v>
      </c>
      <c r="J182" s="16">
        <f t="shared" ref="J182:AG182" si="265">I182*(1+J183)</f>
        <v>1.03</v>
      </c>
      <c r="K182" s="16">
        <f t="shared" si="265"/>
        <v>1.0609</v>
      </c>
      <c r="L182" s="16">
        <f t="shared" si="265"/>
        <v>1.092727</v>
      </c>
      <c r="M182" s="16">
        <f t="shared" si="265"/>
        <v>1.12550881</v>
      </c>
      <c r="N182" s="16">
        <f t="shared" si="265"/>
        <v>1.159274074</v>
      </c>
      <c r="O182" s="16">
        <f t="shared" si="265"/>
        <v>1.194052297</v>
      </c>
      <c r="P182" s="16">
        <f t="shared" si="265"/>
        <v>1.229873865</v>
      </c>
      <c r="Q182" s="16">
        <f t="shared" si="265"/>
        <v>1.266770081</v>
      </c>
      <c r="R182" s="16">
        <f t="shared" si="265"/>
        <v>1.304773184</v>
      </c>
      <c r="S182" s="16">
        <f t="shared" si="265"/>
        <v>1.343916379</v>
      </c>
      <c r="T182" s="16">
        <f t="shared" si="265"/>
        <v>1.384233871</v>
      </c>
      <c r="U182" s="16">
        <f t="shared" si="265"/>
        <v>1.425760887</v>
      </c>
      <c r="V182" s="16">
        <f t="shared" si="265"/>
        <v>1.468533713</v>
      </c>
      <c r="W182" s="16">
        <f t="shared" si="265"/>
        <v>1.512589725</v>
      </c>
      <c r="X182" s="16">
        <f t="shared" si="265"/>
        <v>1.557967417</v>
      </c>
      <c r="Y182" s="16">
        <f t="shared" si="265"/>
        <v>1.604706439</v>
      </c>
      <c r="Z182" s="16">
        <f t="shared" si="265"/>
        <v>1.652847632</v>
      </c>
      <c r="AA182" s="16">
        <f t="shared" si="265"/>
        <v>1.702433061</v>
      </c>
      <c r="AB182" s="16">
        <f t="shared" si="265"/>
        <v>1.753506053</v>
      </c>
      <c r="AC182" s="16">
        <f t="shared" si="265"/>
        <v>1.806111235</v>
      </c>
      <c r="AD182" s="16">
        <f t="shared" si="265"/>
        <v>1.860294572</v>
      </c>
      <c r="AE182" s="16">
        <f t="shared" si="265"/>
        <v>1.916103409</v>
      </c>
      <c r="AF182" s="16">
        <f t="shared" si="265"/>
        <v>1.973586511</v>
      </c>
      <c r="AG182" s="16">
        <f t="shared" si="265"/>
        <v>2.032794106</v>
      </c>
      <c r="AH182" s="4"/>
      <c r="AI182" s="4"/>
      <c r="AJ182" s="27">
        <f>SUM(J182:U182)</f>
        <v>14.61779045</v>
      </c>
      <c r="AK182" s="27">
        <f>SUM(V182:AG182)</f>
        <v>20.84147387</v>
      </c>
      <c r="AL182" s="16">
        <f t="shared" ref="AL182:AN182" si="266">AK182*(1+AL183)</f>
        <v>23.96769495</v>
      </c>
      <c r="AM182" s="16">
        <f t="shared" si="266"/>
        <v>26.36446445</v>
      </c>
      <c r="AN182" s="16">
        <f t="shared" si="266"/>
        <v>27.68268767</v>
      </c>
      <c r="AO182" s="1"/>
      <c r="AP182" s="1"/>
    </row>
    <row r="183" ht="12.75" hidden="1" customHeight="1" outlineLevel="1">
      <c r="A183" s="1"/>
      <c r="B183" s="52" t="s">
        <v>85</v>
      </c>
      <c r="C183" s="1"/>
      <c r="D183" s="1"/>
      <c r="E183" s="24"/>
      <c r="F183" s="128">
        <f t="shared" ref="F183:I183" si="267">IFERROR(F182/E182-1,"- ")</f>
        <v>0</v>
      </c>
      <c r="G183" s="128">
        <f t="shared" si="267"/>
        <v>0</v>
      </c>
      <c r="H183" s="128">
        <f t="shared" si="267"/>
        <v>0</v>
      </c>
      <c r="I183" s="128">
        <f t="shared" si="267"/>
        <v>0</v>
      </c>
      <c r="J183" s="137">
        <v>0.03</v>
      </c>
      <c r="K183" s="129">
        <f t="shared" ref="K183:AG183" si="268">J183</f>
        <v>0.03</v>
      </c>
      <c r="L183" s="129">
        <f t="shared" si="268"/>
        <v>0.03</v>
      </c>
      <c r="M183" s="129">
        <f t="shared" si="268"/>
        <v>0.03</v>
      </c>
      <c r="N183" s="129">
        <f t="shared" si="268"/>
        <v>0.03</v>
      </c>
      <c r="O183" s="129">
        <f t="shared" si="268"/>
        <v>0.03</v>
      </c>
      <c r="P183" s="129">
        <f t="shared" si="268"/>
        <v>0.03</v>
      </c>
      <c r="Q183" s="129">
        <f t="shared" si="268"/>
        <v>0.03</v>
      </c>
      <c r="R183" s="129">
        <f t="shared" si="268"/>
        <v>0.03</v>
      </c>
      <c r="S183" s="129">
        <f t="shared" si="268"/>
        <v>0.03</v>
      </c>
      <c r="T183" s="129">
        <f t="shared" si="268"/>
        <v>0.03</v>
      </c>
      <c r="U183" s="129">
        <f t="shared" si="268"/>
        <v>0.03</v>
      </c>
      <c r="V183" s="129">
        <f t="shared" si="268"/>
        <v>0.03</v>
      </c>
      <c r="W183" s="129">
        <f t="shared" si="268"/>
        <v>0.03</v>
      </c>
      <c r="X183" s="129">
        <f t="shared" si="268"/>
        <v>0.03</v>
      </c>
      <c r="Y183" s="129">
        <f t="shared" si="268"/>
        <v>0.03</v>
      </c>
      <c r="Z183" s="129">
        <f t="shared" si="268"/>
        <v>0.03</v>
      </c>
      <c r="AA183" s="129">
        <f t="shared" si="268"/>
        <v>0.03</v>
      </c>
      <c r="AB183" s="129">
        <f t="shared" si="268"/>
        <v>0.03</v>
      </c>
      <c r="AC183" s="129">
        <f t="shared" si="268"/>
        <v>0.03</v>
      </c>
      <c r="AD183" s="129">
        <f t="shared" si="268"/>
        <v>0.03</v>
      </c>
      <c r="AE183" s="129">
        <f t="shared" si="268"/>
        <v>0.03</v>
      </c>
      <c r="AF183" s="129">
        <f t="shared" si="268"/>
        <v>0.03</v>
      </c>
      <c r="AG183" s="129">
        <f t="shared" si="268"/>
        <v>0.03</v>
      </c>
      <c r="AH183" s="4"/>
      <c r="AI183" s="4"/>
      <c r="AJ183" s="1"/>
      <c r="AK183" s="129">
        <f>AK182/AJ182-1</f>
        <v>0.4257608868</v>
      </c>
      <c r="AL183" s="137">
        <v>0.15</v>
      </c>
      <c r="AM183" s="137">
        <v>0.1</v>
      </c>
      <c r="AN183" s="137">
        <v>0.05</v>
      </c>
      <c r="AO183" s="1"/>
      <c r="AP183" s="1"/>
    </row>
    <row r="184" ht="12.75" hidden="1" customHeight="1" outlineLevel="1">
      <c r="A184" s="1"/>
      <c r="B184" s="86"/>
      <c r="C184" s="1"/>
      <c r="D184" s="1"/>
      <c r="E184" s="24"/>
      <c r="F184" s="24"/>
      <c r="G184" s="24"/>
      <c r="H184" s="24"/>
      <c r="I184" s="2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4"/>
      <c r="AI184" s="4"/>
      <c r="AJ184" s="1"/>
      <c r="AK184" s="1"/>
      <c r="AL184" s="1"/>
      <c r="AM184" s="1"/>
      <c r="AN184" s="1"/>
      <c r="AO184" s="1"/>
      <c r="AP184" s="1"/>
    </row>
    <row r="185" ht="12.75" hidden="1" customHeight="1" outlineLevel="1">
      <c r="A185" s="1"/>
      <c r="B185" s="86" t="s">
        <v>124</v>
      </c>
      <c r="C185" s="1"/>
      <c r="D185" s="1"/>
      <c r="E185" s="59">
        <v>5.0</v>
      </c>
      <c r="F185" s="59">
        <v>5.0</v>
      </c>
      <c r="G185" s="59">
        <v>5.0</v>
      </c>
      <c r="H185" s="59">
        <v>7.0</v>
      </c>
      <c r="I185" s="59">
        <v>7.0</v>
      </c>
      <c r="J185" s="16">
        <f t="shared" ref="J185:AG185" si="269">I185*(1+J186)</f>
        <v>7.21</v>
      </c>
      <c r="K185" s="16">
        <f t="shared" si="269"/>
        <v>7.4263</v>
      </c>
      <c r="L185" s="16">
        <f t="shared" si="269"/>
        <v>7.649089</v>
      </c>
      <c r="M185" s="16">
        <f t="shared" si="269"/>
        <v>7.87856167</v>
      </c>
      <c r="N185" s="16">
        <f t="shared" si="269"/>
        <v>8.11491852</v>
      </c>
      <c r="O185" s="16">
        <f t="shared" si="269"/>
        <v>8.358366076</v>
      </c>
      <c r="P185" s="16">
        <f t="shared" si="269"/>
        <v>8.609117058</v>
      </c>
      <c r="Q185" s="16">
        <f t="shared" si="269"/>
        <v>8.86739057</v>
      </c>
      <c r="R185" s="16">
        <f t="shared" si="269"/>
        <v>9.133412287</v>
      </c>
      <c r="S185" s="16">
        <f t="shared" si="269"/>
        <v>9.407414655</v>
      </c>
      <c r="T185" s="16">
        <f t="shared" si="269"/>
        <v>9.689637095</v>
      </c>
      <c r="U185" s="16">
        <f t="shared" si="269"/>
        <v>9.980326208</v>
      </c>
      <c r="V185" s="16">
        <f t="shared" si="269"/>
        <v>10.27973599</v>
      </c>
      <c r="W185" s="16">
        <f t="shared" si="269"/>
        <v>10.58812807</v>
      </c>
      <c r="X185" s="16">
        <f t="shared" si="269"/>
        <v>10.90577192</v>
      </c>
      <c r="Y185" s="16">
        <f t="shared" si="269"/>
        <v>11.23294507</v>
      </c>
      <c r="Z185" s="16">
        <f t="shared" si="269"/>
        <v>11.56993343</v>
      </c>
      <c r="AA185" s="16">
        <f t="shared" si="269"/>
        <v>11.91703143</v>
      </c>
      <c r="AB185" s="16">
        <f t="shared" si="269"/>
        <v>12.27454237</v>
      </c>
      <c r="AC185" s="16">
        <f t="shared" si="269"/>
        <v>12.64277864</v>
      </c>
      <c r="AD185" s="16">
        <f t="shared" si="269"/>
        <v>13.022062</v>
      </c>
      <c r="AE185" s="16">
        <f t="shared" si="269"/>
        <v>13.41272386</v>
      </c>
      <c r="AF185" s="16">
        <f t="shared" si="269"/>
        <v>13.81510558</v>
      </c>
      <c r="AG185" s="16">
        <f t="shared" si="269"/>
        <v>14.22955875</v>
      </c>
      <c r="AH185" s="4"/>
      <c r="AI185" s="4"/>
      <c r="AJ185" s="27">
        <f>SUM(J185:U185)</f>
        <v>102.3245331</v>
      </c>
      <c r="AK185" s="27">
        <f>SUM(V185:AG185)</f>
        <v>145.8903171</v>
      </c>
      <c r="AL185" s="16">
        <f t="shared" ref="AL185:AN185" si="270">AK185*(1+AL186)</f>
        <v>167.7738647</v>
      </c>
      <c r="AM185" s="16">
        <f t="shared" si="270"/>
        <v>184.5512511</v>
      </c>
      <c r="AN185" s="16">
        <f t="shared" si="270"/>
        <v>193.7788137</v>
      </c>
      <c r="AO185" s="1"/>
      <c r="AP185" s="1"/>
    </row>
    <row r="186" ht="12.75" hidden="1" customHeight="1" outlineLevel="1">
      <c r="A186" s="1"/>
      <c r="B186" s="52" t="s">
        <v>85</v>
      </c>
      <c r="C186" s="1"/>
      <c r="D186" s="1"/>
      <c r="E186" s="24"/>
      <c r="F186" s="128">
        <f t="shared" ref="F186:I186" si="271">F185/E185-1</f>
        <v>0</v>
      </c>
      <c r="G186" s="128">
        <f t="shared" si="271"/>
        <v>0</v>
      </c>
      <c r="H186" s="128">
        <f t="shared" si="271"/>
        <v>0.4</v>
      </c>
      <c r="I186" s="128">
        <f t="shared" si="271"/>
        <v>0</v>
      </c>
      <c r="J186" s="137">
        <v>0.03</v>
      </c>
      <c r="K186" s="129">
        <f t="shared" ref="K186:AG186" si="272">J186</f>
        <v>0.03</v>
      </c>
      <c r="L186" s="129">
        <f t="shared" si="272"/>
        <v>0.03</v>
      </c>
      <c r="M186" s="129">
        <f t="shared" si="272"/>
        <v>0.03</v>
      </c>
      <c r="N186" s="129">
        <f t="shared" si="272"/>
        <v>0.03</v>
      </c>
      <c r="O186" s="129">
        <f t="shared" si="272"/>
        <v>0.03</v>
      </c>
      <c r="P186" s="129">
        <f t="shared" si="272"/>
        <v>0.03</v>
      </c>
      <c r="Q186" s="129">
        <f t="shared" si="272"/>
        <v>0.03</v>
      </c>
      <c r="R186" s="129">
        <f t="shared" si="272"/>
        <v>0.03</v>
      </c>
      <c r="S186" s="129">
        <f t="shared" si="272"/>
        <v>0.03</v>
      </c>
      <c r="T186" s="129">
        <f t="shared" si="272"/>
        <v>0.03</v>
      </c>
      <c r="U186" s="129">
        <f t="shared" si="272"/>
        <v>0.03</v>
      </c>
      <c r="V186" s="129">
        <f t="shared" si="272"/>
        <v>0.03</v>
      </c>
      <c r="W186" s="129">
        <f t="shared" si="272"/>
        <v>0.03</v>
      </c>
      <c r="X186" s="129">
        <f t="shared" si="272"/>
        <v>0.03</v>
      </c>
      <c r="Y186" s="129">
        <f t="shared" si="272"/>
        <v>0.03</v>
      </c>
      <c r="Z186" s="129">
        <f t="shared" si="272"/>
        <v>0.03</v>
      </c>
      <c r="AA186" s="129">
        <f t="shared" si="272"/>
        <v>0.03</v>
      </c>
      <c r="AB186" s="129">
        <f t="shared" si="272"/>
        <v>0.03</v>
      </c>
      <c r="AC186" s="129">
        <f t="shared" si="272"/>
        <v>0.03</v>
      </c>
      <c r="AD186" s="129">
        <f t="shared" si="272"/>
        <v>0.03</v>
      </c>
      <c r="AE186" s="129">
        <f t="shared" si="272"/>
        <v>0.03</v>
      </c>
      <c r="AF186" s="129">
        <f t="shared" si="272"/>
        <v>0.03</v>
      </c>
      <c r="AG186" s="129">
        <f t="shared" si="272"/>
        <v>0.03</v>
      </c>
      <c r="AH186" s="4"/>
      <c r="AI186" s="4"/>
      <c r="AJ186" s="1"/>
      <c r="AK186" s="129">
        <f>AK185/AJ185-1</f>
        <v>0.4257608868</v>
      </c>
      <c r="AL186" s="137">
        <v>0.15</v>
      </c>
      <c r="AM186" s="137">
        <v>0.1</v>
      </c>
      <c r="AN186" s="137">
        <v>0.05</v>
      </c>
      <c r="AO186" s="1"/>
      <c r="AP186" s="1"/>
    </row>
    <row r="187" ht="12.75" hidden="1" customHeight="1" outlineLevel="1">
      <c r="A187" s="1"/>
      <c r="B187" s="86"/>
      <c r="C187" s="1"/>
      <c r="D187" s="1"/>
      <c r="E187" s="24"/>
      <c r="F187" s="24"/>
      <c r="G187" s="24"/>
      <c r="H187" s="24"/>
      <c r="I187" s="2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4"/>
      <c r="AI187" s="4"/>
      <c r="AJ187" s="1"/>
      <c r="AK187" s="1"/>
      <c r="AL187" s="1"/>
      <c r="AM187" s="1"/>
      <c r="AN187" s="1"/>
      <c r="AO187" s="1"/>
      <c r="AP187" s="1"/>
    </row>
    <row r="188" ht="12.75" hidden="1" customHeight="1" outlineLevel="1">
      <c r="A188" s="1"/>
      <c r="B188" s="86" t="s">
        <v>125</v>
      </c>
      <c r="C188" s="1"/>
      <c r="D188" s="1"/>
      <c r="E188" s="59">
        <v>5.0</v>
      </c>
      <c r="F188" s="59">
        <v>5.0</v>
      </c>
      <c r="G188" s="59">
        <v>5.0</v>
      </c>
      <c r="H188" s="59">
        <v>10.0</v>
      </c>
      <c r="I188" s="59">
        <v>10.0</v>
      </c>
      <c r="J188" s="16">
        <f t="shared" ref="J188:AG188" si="273">I188*(1+J189)</f>
        <v>10.3</v>
      </c>
      <c r="K188" s="16">
        <f t="shared" si="273"/>
        <v>10.609</v>
      </c>
      <c r="L188" s="16">
        <f t="shared" si="273"/>
        <v>10.92727</v>
      </c>
      <c r="M188" s="16">
        <f t="shared" si="273"/>
        <v>11.2550881</v>
      </c>
      <c r="N188" s="16">
        <f t="shared" si="273"/>
        <v>11.59274074</v>
      </c>
      <c r="O188" s="16">
        <f t="shared" si="273"/>
        <v>11.94052297</v>
      </c>
      <c r="P188" s="16">
        <f t="shared" si="273"/>
        <v>12.29873865</v>
      </c>
      <c r="Q188" s="16">
        <f t="shared" si="273"/>
        <v>12.66770081</v>
      </c>
      <c r="R188" s="16">
        <f t="shared" si="273"/>
        <v>13.04773184</v>
      </c>
      <c r="S188" s="16">
        <f t="shared" si="273"/>
        <v>13.43916379</v>
      </c>
      <c r="T188" s="16">
        <f t="shared" si="273"/>
        <v>13.84233871</v>
      </c>
      <c r="U188" s="16">
        <f t="shared" si="273"/>
        <v>14.25760887</v>
      </c>
      <c r="V188" s="16">
        <f t="shared" si="273"/>
        <v>14.68533713</v>
      </c>
      <c r="W188" s="16">
        <f t="shared" si="273"/>
        <v>15.12589725</v>
      </c>
      <c r="X188" s="16">
        <f t="shared" si="273"/>
        <v>15.57967417</v>
      </c>
      <c r="Y188" s="16">
        <f t="shared" si="273"/>
        <v>16.04706439</v>
      </c>
      <c r="Z188" s="16">
        <f t="shared" si="273"/>
        <v>16.52847632</v>
      </c>
      <c r="AA188" s="16">
        <f t="shared" si="273"/>
        <v>17.02433061</v>
      </c>
      <c r="AB188" s="16">
        <f t="shared" si="273"/>
        <v>17.53506053</v>
      </c>
      <c r="AC188" s="16">
        <f t="shared" si="273"/>
        <v>18.06111235</v>
      </c>
      <c r="AD188" s="16">
        <f t="shared" si="273"/>
        <v>18.60294572</v>
      </c>
      <c r="AE188" s="16">
        <f t="shared" si="273"/>
        <v>19.16103409</v>
      </c>
      <c r="AF188" s="16">
        <f t="shared" si="273"/>
        <v>19.73586511</v>
      </c>
      <c r="AG188" s="16">
        <f t="shared" si="273"/>
        <v>20.32794106</v>
      </c>
      <c r="AH188" s="4"/>
      <c r="AI188" s="4"/>
      <c r="AJ188" s="27">
        <f>SUM(J188:U188)</f>
        <v>146.1779045</v>
      </c>
      <c r="AK188" s="27">
        <f>SUM(V188:AG188)</f>
        <v>208.4147387</v>
      </c>
      <c r="AL188" s="16">
        <f t="shared" ref="AL188:AN188" si="274">AK188*(1+AL189)</f>
        <v>239.6769495</v>
      </c>
      <c r="AM188" s="16">
        <f t="shared" si="274"/>
        <v>263.6446445</v>
      </c>
      <c r="AN188" s="16">
        <f t="shared" si="274"/>
        <v>276.8268767</v>
      </c>
      <c r="AO188" s="1"/>
      <c r="AP188" s="1"/>
    </row>
    <row r="189" ht="12.75" hidden="1" customHeight="1" outlineLevel="1">
      <c r="A189" s="1"/>
      <c r="B189" s="52" t="s">
        <v>85</v>
      </c>
      <c r="C189" s="1"/>
      <c r="D189" s="1"/>
      <c r="E189" s="24"/>
      <c r="F189" s="128">
        <f t="shared" ref="F189:I189" si="275">F188/E188-1</f>
        <v>0</v>
      </c>
      <c r="G189" s="128">
        <f t="shared" si="275"/>
        <v>0</v>
      </c>
      <c r="H189" s="128">
        <f t="shared" si="275"/>
        <v>1</v>
      </c>
      <c r="I189" s="128">
        <f t="shared" si="275"/>
        <v>0</v>
      </c>
      <c r="J189" s="137">
        <v>0.03</v>
      </c>
      <c r="K189" s="129">
        <f t="shared" ref="K189:AG189" si="276">J189</f>
        <v>0.03</v>
      </c>
      <c r="L189" s="129">
        <f t="shared" si="276"/>
        <v>0.03</v>
      </c>
      <c r="M189" s="129">
        <f t="shared" si="276"/>
        <v>0.03</v>
      </c>
      <c r="N189" s="129">
        <f t="shared" si="276"/>
        <v>0.03</v>
      </c>
      <c r="O189" s="129">
        <f t="shared" si="276"/>
        <v>0.03</v>
      </c>
      <c r="P189" s="129">
        <f t="shared" si="276"/>
        <v>0.03</v>
      </c>
      <c r="Q189" s="129">
        <f t="shared" si="276"/>
        <v>0.03</v>
      </c>
      <c r="R189" s="129">
        <f t="shared" si="276"/>
        <v>0.03</v>
      </c>
      <c r="S189" s="129">
        <f t="shared" si="276"/>
        <v>0.03</v>
      </c>
      <c r="T189" s="129">
        <f t="shared" si="276"/>
        <v>0.03</v>
      </c>
      <c r="U189" s="129">
        <f t="shared" si="276"/>
        <v>0.03</v>
      </c>
      <c r="V189" s="129">
        <f t="shared" si="276"/>
        <v>0.03</v>
      </c>
      <c r="W189" s="129">
        <f t="shared" si="276"/>
        <v>0.03</v>
      </c>
      <c r="X189" s="129">
        <f t="shared" si="276"/>
        <v>0.03</v>
      </c>
      <c r="Y189" s="129">
        <f t="shared" si="276"/>
        <v>0.03</v>
      </c>
      <c r="Z189" s="129">
        <f t="shared" si="276"/>
        <v>0.03</v>
      </c>
      <c r="AA189" s="129">
        <f t="shared" si="276"/>
        <v>0.03</v>
      </c>
      <c r="AB189" s="129">
        <f t="shared" si="276"/>
        <v>0.03</v>
      </c>
      <c r="AC189" s="129">
        <f t="shared" si="276"/>
        <v>0.03</v>
      </c>
      <c r="AD189" s="129">
        <f t="shared" si="276"/>
        <v>0.03</v>
      </c>
      <c r="AE189" s="129">
        <f t="shared" si="276"/>
        <v>0.03</v>
      </c>
      <c r="AF189" s="129">
        <f t="shared" si="276"/>
        <v>0.03</v>
      </c>
      <c r="AG189" s="129">
        <f t="shared" si="276"/>
        <v>0.03</v>
      </c>
      <c r="AH189" s="4"/>
      <c r="AI189" s="4"/>
      <c r="AJ189" s="1"/>
      <c r="AK189" s="129">
        <f>AK188/AJ188-1</f>
        <v>0.4257608868</v>
      </c>
      <c r="AL189" s="137">
        <v>0.15</v>
      </c>
      <c r="AM189" s="137">
        <v>0.1</v>
      </c>
      <c r="AN189" s="137">
        <v>0.05</v>
      </c>
      <c r="AO189" s="1"/>
      <c r="AP189" s="1"/>
    </row>
    <row r="190" ht="12.75" hidden="1" customHeight="1" outlineLevel="1">
      <c r="A190" s="1"/>
      <c r="B190" s="52"/>
      <c r="C190" s="1"/>
      <c r="D190" s="1"/>
      <c r="E190" s="24"/>
      <c r="F190" s="24"/>
      <c r="G190" s="24"/>
      <c r="H190" s="24"/>
      <c r="I190" s="2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4"/>
      <c r="AI190" s="4"/>
      <c r="AJ190" s="1"/>
      <c r="AK190" s="129"/>
      <c r="AL190" s="128"/>
      <c r="AM190" s="128"/>
      <c r="AN190" s="128"/>
      <c r="AO190" s="1"/>
      <c r="AP190" s="1"/>
    </row>
    <row r="191" ht="12.75" hidden="1" customHeight="1" outlineLevel="1">
      <c r="A191" s="1"/>
      <c r="B191" s="86" t="s">
        <v>126</v>
      </c>
      <c r="C191" s="1"/>
      <c r="D191" s="1"/>
      <c r="E191" s="59">
        <v>2.0</v>
      </c>
      <c r="F191" s="59">
        <v>2.0</v>
      </c>
      <c r="G191" s="59">
        <v>2.0</v>
      </c>
      <c r="H191" s="59">
        <v>2.0</v>
      </c>
      <c r="I191" s="59">
        <v>2.0</v>
      </c>
      <c r="J191" s="16">
        <f t="shared" ref="J191:AG191" si="277">I191*(1+J192)</f>
        <v>2.06</v>
      </c>
      <c r="K191" s="16">
        <f t="shared" si="277"/>
        <v>2.1218</v>
      </c>
      <c r="L191" s="16">
        <f t="shared" si="277"/>
        <v>2.185454</v>
      </c>
      <c r="M191" s="16">
        <f t="shared" si="277"/>
        <v>2.25101762</v>
      </c>
      <c r="N191" s="16">
        <f t="shared" si="277"/>
        <v>2.318548149</v>
      </c>
      <c r="O191" s="16">
        <f t="shared" si="277"/>
        <v>2.388104593</v>
      </c>
      <c r="P191" s="16">
        <f t="shared" si="277"/>
        <v>2.459747731</v>
      </c>
      <c r="Q191" s="16">
        <f t="shared" si="277"/>
        <v>2.533540163</v>
      </c>
      <c r="R191" s="16">
        <f t="shared" si="277"/>
        <v>2.609546368</v>
      </c>
      <c r="S191" s="16">
        <f t="shared" si="277"/>
        <v>2.687832759</v>
      </c>
      <c r="T191" s="16">
        <f t="shared" si="277"/>
        <v>2.768467741</v>
      </c>
      <c r="U191" s="16">
        <f t="shared" si="277"/>
        <v>2.851521774</v>
      </c>
      <c r="V191" s="16">
        <f t="shared" si="277"/>
        <v>2.937067427</v>
      </c>
      <c r="W191" s="16">
        <f t="shared" si="277"/>
        <v>3.02517945</v>
      </c>
      <c r="X191" s="16">
        <f t="shared" si="277"/>
        <v>3.115934833</v>
      </c>
      <c r="Y191" s="16">
        <f t="shared" si="277"/>
        <v>3.209412878</v>
      </c>
      <c r="Z191" s="16">
        <f t="shared" si="277"/>
        <v>3.305695265</v>
      </c>
      <c r="AA191" s="16">
        <f t="shared" si="277"/>
        <v>3.404866122</v>
      </c>
      <c r="AB191" s="16">
        <f t="shared" si="277"/>
        <v>3.507012106</v>
      </c>
      <c r="AC191" s="16">
        <f t="shared" si="277"/>
        <v>3.612222469</v>
      </c>
      <c r="AD191" s="16">
        <f t="shared" si="277"/>
        <v>3.720589143</v>
      </c>
      <c r="AE191" s="16">
        <f t="shared" si="277"/>
        <v>3.832206818</v>
      </c>
      <c r="AF191" s="16">
        <f t="shared" si="277"/>
        <v>3.947173022</v>
      </c>
      <c r="AG191" s="16">
        <f t="shared" si="277"/>
        <v>4.065588213</v>
      </c>
      <c r="AH191" s="4"/>
      <c r="AI191" s="4"/>
      <c r="AJ191" s="27">
        <f>SUM(J191:U191)</f>
        <v>29.2355809</v>
      </c>
      <c r="AK191" s="27">
        <f>SUM(V191:AG191)</f>
        <v>41.68294775</v>
      </c>
      <c r="AL191" s="16">
        <f t="shared" ref="AL191:AN191" si="278">AK191*(1+AL192)</f>
        <v>47.93538991</v>
      </c>
      <c r="AM191" s="16">
        <f t="shared" si="278"/>
        <v>52.7289289</v>
      </c>
      <c r="AN191" s="16">
        <f t="shared" si="278"/>
        <v>55.36537534</v>
      </c>
      <c r="AO191" s="1"/>
      <c r="AP191" s="1"/>
    </row>
    <row r="192" ht="12.75" hidden="1" customHeight="1" outlineLevel="1">
      <c r="A192" s="1"/>
      <c r="B192" s="52" t="s">
        <v>85</v>
      </c>
      <c r="C192" s="1"/>
      <c r="D192" s="1"/>
      <c r="E192" s="24"/>
      <c r="F192" s="128">
        <f t="shared" ref="F192:I192" si="279">F191/E191-1</f>
        <v>0</v>
      </c>
      <c r="G192" s="128">
        <f t="shared" si="279"/>
        <v>0</v>
      </c>
      <c r="H192" s="128">
        <f t="shared" si="279"/>
        <v>0</v>
      </c>
      <c r="I192" s="128">
        <f t="shared" si="279"/>
        <v>0</v>
      </c>
      <c r="J192" s="137">
        <v>0.03</v>
      </c>
      <c r="K192" s="129">
        <f t="shared" ref="K192:AG192" si="280">J192</f>
        <v>0.03</v>
      </c>
      <c r="L192" s="129">
        <f t="shared" si="280"/>
        <v>0.03</v>
      </c>
      <c r="M192" s="129">
        <f t="shared" si="280"/>
        <v>0.03</v>
      </c>
      <c r="N192" s="129">
        <f t="shared" si="280"/>
        <v>0.03</v>
      </c>
      <c r="O192" s="129">
        <f t="shared" si="280"/>
        <v>0.03</v>
      </c>
      <c r="P192" s="129">
        <f t="shared" si="280"/>
        <v>0.03</v>
      </c>
      <c r="Q192" s="129">
        <f t="shared" si="280"/>
        <v>0.03</v>
      </c>
      <c r="R192" s="129">
        <f t="shared" si="280"/>
        <v>0.03</v>
      </c>
      <c r="S192" s="129">
        <f t="shared" si="280"/>
        <v>0.03</v>
      </c>
      <c r="T192" s="129">
        <f t="shared" si="280"/>
        <v>0.03</v>
      </c>
      <c r="U192" s="129">
        <f t="shared" si="280"/>
        <v>0.03</v>
      </c>
      <c r="V192" s="129">
        <f t="shared" si="280"/>
        <v>0.03</v>
      </c>
      <c r="W192" s="129">
        <f t="shared" si="280"/>
        <v>0.03</v>
      </c>
      <c r="X192" s="129">
        <f t="shared" si="280"/>
        <v>0.03</v>
      </c>
      <c r="Y192" s="129">
        <f t="shared" si="280"/>
        <v>0.03</v>
      </c>
      <c r="Z192" s="129">
        <f t="shared" si="280"/>
        <v>0.03</v>
      </c>
      <c r="AA192" s="129">
        <f t="shared" si="280"/>
        <v>0.03</v>
      </c>
      <c r="AB192" s="129">
        <f t="shared" si="280"/>
        <v>0.03</v>
      </c>
      <c r="AC192" s="129">
        <f t="shared" si="280"/>
        <v>0.03</v>
      </c>
      <c r="AD192" s="129">
        <f t="shared" si="280"/>
        <v>0.03</v>
      </c>
      <c r="AE192" s="129">
        <f t="shared" si="280"/>
        <v>0.03</v>
      </c>
      <c r="AF192" s="129">
        <f t="shared" si="280"/>
        <v>0.03</v>
      </c>
      <c r="AG192" s="129">
        <f t="shared" si="280"/>
        <v>0.03</v>
      </c>
      <c r="AH192" s="4"/>
      <c r="AI192" s="4"/>
      <c r="AJ192" s="1"/>
      <c r="AK192" s="129">
        <f>AK191/AJ191-1</f>
        <v>0.4257608868</v>
      </c>
      <c r="AL192" s="137">
        <v>0.15</v>
      </c>
      <c r="AM192" s="137">
        <v>0.1</v>
      </c>
      <c r="AN192" s="137">
        <v>0.05</v>
      </c>
      <c r="AO192" s="1"/>
      <c r="AP192" s="1"/>
    </row>
    <row r="193" ht="12.75" hidden="1" customHeight="1" outlineLevel="1">
      <c r="A193" s="1"/>
      <c r="B193" s="86"/>
      <c r="C193" s="1"/>
      <c r="D193" s="1"/>
      <c r="E193" s="24"/>
      <c r="F193" s="24"/>
      <c r="G193" s="24"/>
      <c r="H193" s="24"/>
      <c r="I193" s="2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4"/>
      <c r="AI193" s="4"/>
      <c r="AJ193" s="1"/>
      <c r="AK193" s="1"/>
      <c r="AL193" s="1"/>
      <c r="AM193" s="1"/>
      <c r="AN193" s="1"/>
      <c r="AO193" s="1"/>
      <c r="AP193" s="1"/>
    </row>
    <row r="194" ht="12.75" hidden="1" customHeight="1" outlineLevel="1">
      <c r="A194" s="1"/>
      <c r="B194" s="86" t="s">
        <v>127</v>
      </c>
      <c r="C194" s="1"/>
      <c r="D194" s="1"/>
      <c r="E194" s="59">
        <v>3.0</v>
      </c>
      <c r="F194" s="59">
        <v>3.0</v>
      </c>
      <c r="G194" s="59">
        <v>3.0</v>
      </c>
      <c r="H194" s="59">
        <v>3.0</v>
      </c>
      <c r="I194" s="59">
        <v>3.0</v>
      </c>
      <c r="J194" s="16">
        <f t="shared" ref="J194:AG194" si="281">I194*(1+J195)</f>
        <v>3.09</v>
      </c>
      <c r="K194" s="16">
        <f t="shared" si="281"/>
        <v>3.1827</v>
      </c>
      <c r="L194" s="16">
        <f t="shared" si="281"/>
        <v>3.278181</v>
      </c>
      <c r="M194" s="16">
        <f t="shared" si="281"/>
        <v>3.37652643</v>
      </c>
      <c r="N194" s="16">
        <f t="shared" si="281"/>
        <v>3.477822223</v>
      </c>
      <c r="O194" s="16">
        <f t="shared" si="281"/>
        <v>3.58215689</v>
      </c>
      <c r="P194" s="16">
        <f t="shared" si="281"/>
        <v>3.689621596</v>
      </c>
      <c r="Q194" s="16">
        <f t="shared" si="281"/>
        <v>3.800310244</v>
      </c>
      <c r="R194" s="16">
        <f t="shared" si="281"/>
        <v>3.914319551</v>
      </c>
      <c r="S194" s="16">
        <f t="shared" si="281"/>
        <v>4.031749138</v>
      </c>
      <c r="T194" s="16">
        <f t="shared" si="281"/>
        <v>4.152701612</v>
      </c>
      <c r="U194" s="16">
        <f t="shared" si="281"/>
        <v>4.277282661</v>
      </c>
      <c r="V194" s="16">
        <f t="shared" si="281"/>
        <v>4.40560114</v>
      </c>
      <c r="W194" s="16">
        <f t="shared" si="281"/>
        <v>4.537769175</v>
      </c>
      <c r="X194" s="16">
        <f t="shared" si="281"/>
        <v>4.67390225</v>
      </c>
      <c r="Y194" s="16">
        <f t="shared" si="281"/>
        <v>4.814119317</v>
      </c>
      <c r="Z194" s="16">
        <f t="shared" si="281"/>
        <v>4.958542897</v>
      </c>
      <c r="AA194" s="16">
        <f t="shared" si="281"/>
        <v>5.107299184</v>
      </c>
      <c r="AB194" s="16">
        <f t="shared" si="281"/>
        <v>5.260518159</v>
      </c>
      <c r="AC194" s="16">
        <f t="shared" si="281"/>
        <v>5.418333704</v>
      </c>
      <c r="AD194" s="16">
        <f t="shared" si="281"/>
        <v>5.580883715</v>
      </c>
      <c r="AE194" s="16">
        <f t="shared" si="281"/>
        <v>5.748310227</v>
      </c>
      <c r="AF194" s="16">
        <f t="shared" si="281"/>
        <v>5.920759533</v>
      </c>
      <c r="AG194" s="16">
        <f t="shared" si="281"/>
        <v>6.098382319</v>
      </c>
      <c r="AH194" s="4"/>
      <c r="AI194" s="4"/>
      <c r="AJ194" s="27">
        <f>SUM(J194:U194)</f>
        <v>43.85337135</v>
      </c>
      <c r="AK194" s="27">
        <f>SUM(V194:AG194)</f>
        <v>62.52442162</v>
      </c>
      <c r="AL194" s="16">
        <f t="shared" ref="AL194:AN194" si="282">AK194*(1+AL195)</f>
        <v>71.90308486</v>
      </c>
      <c r="AM194" s="16">
        <f t="shared" si="282"/>
        <v>79.09339335</v>
      </c>
      <c r="AN194" s="16">
        <f t="shared" si="282"/>
        <v>83.04806302</v>
      </c>
      <c r="AO194" s="1"/>
      <c r="AP194" s="1"/>
    </row>
    <row r="195" ht="12.75" hidden="1" customHeight="1" outlineLevel="1">
      <c r="A195" s="1"/>
      <c r="B195" s="52" t="s">
        <v>85</v>
      </c>
      <c r="C195" s="1"/>
      <c r="D195" s="1"/>
      <c r="E195" s="24"/>
      <c r="F195" s="128">
        <f t="shared" ref="F195:I195" si="283">F194/E194-1</f>
        <v>0</v>
      </c>
      <c r="G195" s="128">
        <f t="shared" si="283"/>
        <v>0</v>
      </c>
      <c r="H195" s="128">
        <f t="shared" si="283"/>
        <v>0</v>
      </c>
      <c r="I195" s="128">
        <f t="shared" si="283"/>
        <v>0</v>
      </c>
      <c r="J195" s="137">
        <v>0.03</v>
      </c>
      <c r="K195" s="129">
        <f t="shared" ref="K195:AG195" si="284">J195</f>
        <v>0.03</v>
      </c>
      <c r="L195" s="129">
        <f t="shared" si="284"/>
        <v>0.03</v>
      </c>
      <c r="M195" s="129">
        <f t="shared" si="284"/>
        <v>0.03</v>
      </c>
      <c r="N195" s="129">
        <f t="shared" si="284"/>
        <v>0.03</v>
      </c>
      <c r="O195" s="129">
        <f t="shared" si="284"/>
        <v>0.03</v>
      </c>
      <c r="P195" s="129">
        <f t="shared" si="284"/>
        <v>0.03</v>
      </c>
      <c r="Q195" s="129">
        <f t="shared" si="284"/>
        <v>0.03</v>
      </c>
      <c r="R195" s="129">
        <f t="shared" si="284"/>
        <v>0.03</v>
      </c>
      <c r="S195" s="129">
        <f t="shared" si="284"/>
        <v>0.03</v>
      </c>
      <c r="T195" s="129">
        <f t="shared" si="284"/>
        <v>0.03</v>
      </c>
      <c r="U195" s="129">
        <f t="shared" si="284"/>
        <v>0.03</v>
      </c>
      <c r="V195" s="129">
        <f t="shared" si="284"/>
        <v>0.03</v>
      </c>
      <c r="W195" s="129">
        <f t="shared" si="284"/>
        <v>0.03</v>
      </c>
      <c r="X195" s="129">
        <f t="shared" si="284"/>
        <v>0.03</v>
      </c>
      <c r="Y195" s="129">
        <f t="shared" si="284"/>
        <v>0.03</v>
      </c>
      <c r="Z195" s="129">
        <f t="shared" si="284"/>
        <v>0.03</v>
      </c>
      <c r="AA195" s="129">
        <f t="shared" si="284"/>
        <v>0.03</v>
      </c>
      <c r="AB195" s="129">
        <f t="shared" si="284"/>
        <v>0.03</v>
      </c>
      <c r="AC195" s="129">
        <f t="shared" si="284"/>
        <v>0.03</v>
      </c>
      <c r="AD195" s="129">
        <f t="shared" si="284"/>
        <v>0.03</v>
      </c>
      <c r="AE195" s="129">
        <f t="shared" si="284"/>
        <v>0.03</v>
      </c>
      <c r="AF195" s="129">
        <f t="shared" si="284"/>
        <v>0.03</v>
      </c>
      <c r="AG195" s="129">
        <f t="shared" si="284"/>
        <v>0.03</v>
      </c>
      <c r="AH195" s="4"/>
      <c r="AI195" s="4"/>
      <c r="AJ195" s="1"/>
      <c r="AK195" s="129">
        <f>AK194/AJ194-1</f>
        <v>0.4257608868</v>
      </c>
      <c r="AL195" s="137">
        <v>0.15</v>
      </c>
      <c r="AM195" s="137">
        <v>0.1</v>
      </c>
      <c r="AN195" s="137">
        <v>0.05</v>
      </c>
      <c r="AO195" s="1"/>
      <c r="AP195" s="1"/>
    </row>
    <row r="196" ht="12.75" hidden="1" customHeight="1" outlineLevel="1">
      <c r="A196" s="1"/>
      <c r="B196" s="86"/>
      <c r="C196" s="1"/>
      <c r="D196" s="1"/>
      <c r="E196" s="24"/>
      <c r="F196" s="24"/>
      <c r="G196" s="24"/>
      <c r="H196" s="24"/>
      <c r="I196" s="2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4"/>
      <c r="AI196" s="4"/>
      <c r="AJ196" s="1"/>
      <c r="AK196" s="1"/>
      <c r="AL196" s="1"/>
      <c r="AM196" s="1"/>
      <c r="AN196" s="1"/>
      <c r="AO196" s="1"/>
      <c r="AP196" s="1"/>
    </row>
    <row r="197" ht="12.75" customHeight="1" collapsed="1">
      <c r="A197" s="1"/>
      <c r="B197" s="1" t="s">
        <v>109</v>
      </c>
      <c r="C197" s="1"/>
      <c r="D197" s="1"/>
      <c r="E197" s="59">
        <f t="shared" ref="E197:AG197" si="285">E154+E159+E164+E170+E167+E176+E179+E173+E182+E185+E188+E191+E194</f>
        <v>125</v>
      </c>
      <c r="F197" s="59">
        <f t="shared" si="285"/>
        <v>111.5</v>
      </c>
      <c r="G197" s="59">
        <f t="shared" si="285"/>
        <v>122.375</v>
      </c>
      <c r="H197" s="59">
        <f t="shared" si="285"/>
        <v>134.375</v>
      </c>
      <c r="I197" s="59">
        <f t="shared" si="285"/>
        <v>140.375</v>
      </c>
      <c r="J197" s="16">
        <f t="shared" si="285"/>
        <v>206.2652083</v>
      </c>
      <c r="K197" s="16">
        <f t="shared" si="285"/>
        <v>186.12605</v>
      </c>
      <c r="L197" s="16">
        <f t="shared" si="285"/>
        <v>194.7240815</v>
      </c>
      <c r="M197" s="16">
        <f t="shared" si="285"/>
        <v>189.2719289</v>
      </c>
      <c r="N197" s="16">
        <f t="shared" si="285"/>
        <v>190.4688931</v>
      </c>
      <c r="O197" s="16">
        <f t="shared" si="285"/>
        <v>199.9560355</v>
      </c>
      <c r="P197" s="16">
        <f t="shared" si="285"/>
        <v>218.3352877</v>
      </c>
      <c r="Q197" s="16">
        <f t="shared" si="285"/>
        <v>228.1860245</v>
      </c>
      <c r="R197" s="16">
        <f t="shared" si="285"/>
        <v>230.4263859</v>
      </c>
      <c r="S197" s="16">
        <f t="shared" si="285"/>
        <v>231.82003</v>
      </c>
      <c r="T197" s="16">
        <f t="shared" si="285"/>
        <v>233.249867</v>
      </c>
      <c r="U197" s="16">
        <f t="shared" si="285"/>
        <v>234.7175442</v>
      </c>
      <c r="V197" s="16">
        <f t="shared" si="285"/>
        <v>253.5470537</v>
      </c>
      <c r="W197" s="16">
        <f t="shared" si="285"/>
        <v>281.5299393</v>
      </c>
      <c r="X197" s="16">
        <f t="shared" si="285"/>
        <v>283.0954696</v>
      </c>
      <c r="Y197" s="16">
        <f t="shared" si="285"/>
        <v>293.5289503</v>
      </c>
      <c r="Z197" s="16">
        <f t="shared" si="285"/>
        <v>304.0108058</v>
      </c>
      <c r="AA197" s="16">
        <f t="shared" si="285"/>
        <v>305.7215031</v>
      </c>
      <c r="AB197" s="16">
        <f t="shared" si="285"/>
        <v>325.1254901</v>
      </c>
      <c r="AC197" s="16">
        <f t="shared" si="285"/>
        <v>344.5823376</v>
      </c>
      <c r="AD197" s="16">
        <f t="shared" si="285"/>
        <v>346.4516627</v>
      </c>
      <c r="AE197" s="16">
        <f t="shared" si="285"/>
        <v>357.198052</v>
      </c>
      <c r="AF197" s="16">
        <f t="shared" si="285"/>
        <v>368.0022034</v>
      </c>
      <c r="AG197" s="16">
        <f t="shared" si="285"/>
        <v>370.0448654</v>
      </c>
      <c r="AH197" s="4"/>
      <c r="AI197" s="4"/>
      <c r="AJ197" s="27">
        <f>SUM(J197:U197)</f>
        <v>2543.547337</v>
      </c>
      <c r="AK197" s="27">
        <f>SUM(V197:AG197)</f>
        <v>3832.838333</v>
      </c>
      <c r="AL197" s="16">
        <f t="shared" ref="AL197:AN197" si="286">AL154+AL159+AL164+AL170+AL167+AL176+AL179+AL173+AL182+AL185+AL188+AL191+AL194</f>
        <v>6903.803559</v>
      </c>
      <c r="AM197" s="16">
        <f t="shared" si="286"/>
        <v>11716.01574</v>
      </c>
      <c r="AN197" s="16">
        <f t="shared" si="286"/>
        <v>15632.81312</v>
      </c>
      <c r="AO197" s="1"/>
      <c r="AP197" s="1"/>
    </row>
    <row r="198" ht="12.75" customHeight="1">
      <c r="A198" s="1"/>
      <c r="B198" s="52" t="s">
        <v>103</v>
      </c>
      <c r="C198" s="1"/>
      <c r="D198" s="1"/>
      <c r="E198" s="128">
        <f t="shared" ref="E198:AG198" si="287">IFERROR(E197/E$114,0)</f>
        <v>0</v>
      </c>
      <c r="F198" s="128">
        <f t="shared" si="287"/>
        <v>0</v>
      </c>
      <c r="G198" s="128">
        <f t="shared" si="287"/>
        <v>0</v>
      </c>
      <c r="H198" s="128">
        <f t="shared" si="287"/>
        <v>0</v>
      </c>
      <c r="I198" s="128">
        <f t="shared" si="287"/>
        <v>0</v>
      </c>
      <c r="J198" s="129">
        <f t="shared" si="287"/>
        <v>0</v>
      </c>
      <c r="K198" s="129">
        <f t="shared" si="287"/>
        <v>0</v>
      </c>
      <c r="L198" s="129">
        <f t="shared" si="287"/>
        <v>0</v>
      </c>
      <c r="M198" s="129">
        <f t="shared" si="287"/>
        <v>1.548236638</v>
      </c>
      <c r="N198" s="129">
        <f t="shared" si="287"/>
        <v>1.505385442</v>
      </c>
      <c r="O198" s="129">
        <f t="shared" si="287"/>
        <v>2.231091919</v>
      </c>
      <c r="P198" s="129">
        <f t="shared" si="287"/>
        <v>2.382006243</v>
      </c>
      <c r="Q198" s="129">
        <f t="shared" si="287"/>
        <v>2.440642986</v>
      </c>
      <c r="R198" s="129">
        <f t="shared" si="287"/>
        <v>1.059944319</v>
      </c>
      <c r="S198" s="129">
        <f t="shared" si="287"/>
        <v>1.038828147</v>
      </c>
      <c r="T198" s="129">
        <f t="shared" si="287"/>
        <v>1.021503379</v>
      </c>
      <c r="U198" s="129">
        <f t="shared" si="287"/>
        <v>1.007346311</v>
      </c>
      <c r="V198" s="129">
        <f t="shared" si="287"/>
        <v>1.068893185</v>
      </c>
      <c r="W198" s="129">
        <f t="shared" si="287"/>
        <v>1.168248155</v>
      </c>
      <c r="X198" s="129">
        <f t="shared" si="287"/>
        <v>1.158393672</v>
      </c>
      <c r="Y198" s="129">
        <f t="shared" si="287"/>
        <v>0.79397037</v>
      </c>
      <c r="Z198" s="129">
        <f t="shared" si="287"/>
        <v>0.8069772509</v>
      </c>
      <c r="AA198" s="129">
        <f t="shared" si="287"/>
        <v>0.798113718</v>
      </c>
      <c r="AB198" s="129">
        <f t="shared" si="287"/>
        <v>0.7569867834</v>
      </c>
      <c r="AC198" s="129">
        <f t="shared" si="287"/>
        <v>0.7902365573</v>
      </c>
      <c r="AD198" s="129">
        <f t="shared" si="287"/>
        <v>0.7839254712</v>
      </c>
      <c r="AE198" s="129">
        <f t="shared" si="287"/>
        <v>0.6272132392</v>
      </c>
      <c r="AF198" s="129">
        <f t="shared" si="287"/>
        <v>0.6360765724</v>
      </c>
      <c r="AG198" s="129">
        <f t="shared" si="287"/>
        <v>0.6307276762</v>
      </c>
      <c r="AH198" s="4"/>
      <c r="AI198" s="4"/>
      <c r="AJ198" s="129">
        <f t="shared" ref="AJ198:AN198" si="288">IFERROR(AJ197/AJ$114,0)</f>
        <v>1.784384888</v>
      </c>
      <c r="AK198" s="129">
        <f t="shared" si="288"/>
        <v>0.7831235253</v>
      </c>
      <c r="AL198" s="129">
        <f t="shared" si="288"/>
        <v>0.5381309614</v>
      </c>
      <c r="AM198" s="129">
        <f t="shared" si="288"/>
        <v>0.4236359542</v>
      </c>
      <c r="AN198" s="129">
        <f t="shared" si="288"/>
        <v>0.2667533739</v>
      </c>
      <c r="AO198" s="1"/>
      <c r="AP198" s="1"/>
    </row>
    <row r="199" ht="12.75" customHeight="1">
      <c r="A199" s="1"/>
      <c r="B199" s="52" t="s">
        <v>85</v>
      </c>
      <c r="C199" s="1"/>
      <c r="D199" s="1"/>
      <c r="E199" s="24"/>
      <c r="F199" s="128">
        <f t="shared" ref="F199:AG199" si="289">F197/E197-1</f>
        <v>-0.108</v>
      </c>
      <c r="G199" s="128">
        <f t="shared" si="289"/>
        <v>0.09753363229</v>
      </c>
      <c r="H199" s="128">
        <f t="shared" si="289"/>
        <v>0.09805924413</v>
      </c>
      <c r="I199" s="128">
        <f t="shared" si="289"/>
        <v>0.04465116279</v>
      </c>
      <c r="J199" s="129">
        <f t="shared" si="289"/>
        <v>0.4693870585</v>
      </c>
      <c r="K199" s="129">
        <f t="shared" si="289"/>
        <v>-0.09763720453</v>
      </c>
      <c r="L199" s="129">
        <f t="shared" si="289"/>
        <v>0.04619467022</v>
      </c>
      <c r="M199" s="129">
        <f t="shared" si="289"/>
        <v>-0.02799937487</v>
      </c>
      <c r="N199" s="129">
        <f t="shared" si="289"/>
        <v>0.00632404459</v>
      </c>
      <c r="O199" s="129">
        <f t="shared" si="289"/>
        <v>0.04980940596</v>
      </c>
      <c r="P199" s="129">
        <f t="shared" si="289"/>
        <v>0.09191646658</v>
      </c>
      <c r="Q199" s="129">
        <f t="shared" si="289"/>
        <v>0.04511747444</v>
      </c>
      <c r="R199" s="129">
        <f t="shared" si="289"/>
        <v>0.009818135753</v>
      </c>
      <c r="S199" s="129">
        <f t="shared" si="289"/>
        <v>0.006048110064</v>
      </c>
      <c r="T199" s="129">
        <f t="shared" si="289"/>
        <v>0.006167874971</v>
      </c>
      <c r="U199" s="129">
        <f t="shared" si="289"/>
        <v>0.006292296038</v>
      </c>
      <c r="V199" s="129">
        <f t="shared" si="289"/>
        <v>0.08022199459</v>
      </c>
      <c r="W199" s="129">
        <f t="shared" si="289"/>
        <v>0.1103656505</v>
      </c>
      <c r="X199" s="129">
        <f t="shared" si="289"/>
        <v>0.005560795308</v>
      </c>
      <c r="Y199" s="129">
        <f t="shared" si="289"/>
        <v>0.03685498982</v>
      </c>
      <c r="Z199" s="129">
        <f t="shared" si="289"/>
        <v>0.03570978443</v>
      </c>
      <c r="AA199" s="129">
        <f t="shared" si="289"/>
        <v>0.005627093731</v>
      </c>
      <c r="AB199" s="129">
        <f t="shared" si="289"/>
        <v>0.063469487</v>
      </c>
      <c r="AC199" s="129">
        <f t="shared" si="289"/>
        <v>0.05984411591</v>
      </c>
      <c r="AD199" s="129">
        <f t="shared" si="289"/>
        <v>0.005424901174</v>
      </c>
      <c r="AE199" s="129">
        <f t="shared" si="289"/>
        <v>0.03101843753</v>
      </c>
      <c r="AF199" s="129">
        <f t="shared" si="289"/>
        <v>0.0302469494</v>
      </c>
      <c r="AG199" s="129">
        <f t="shared" si="289"/>
        <v>0.005550678828</v>
      </c>
      <c r="AH199" s="4"/>
      <c r="AI199" s="4"/>
      <c r="AJ199" s="1"/>
      <c r="AK199" s="129">
        <f t="shared" ref="AK199:AN199" si="290">AK197/AJ197-1</f>
        <v>0.5068869676</v>
      </c>
      <c r="AL199" s="129">
        <f t="shared" si="290"/>
        <v>0.8012248258</v>
      </c>
      <c r="AM199" s="129">
        <f t="shared" si="290"/>
        <v>0.6970378192</v>
      </c>
      <c r="AN199" s="129">
        <f t="shared" si="290"/>
        <v>0.3343113793</v>
      </c>
      <c r="AO199" s="1"/>
      <c r="AP199" s="1"/>
    </row>
    <row r="200" ht="12.75" customHeight="1">
      <c r="A200" s="1"/>
      <c r="B200" s="52"/>
      <c r="C200" s="1"/>
      <c r="D200" s="1"/>
      <c r="E200" s="24"/>
      <c r="F200" s="128"/>
      <c r="G200" s="128"/>
      <c r="H200" s="128"/>
      <c r="I200" s="128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29"/>
      <c r="AC200" s="129"/>
      <c r="AD200" s="129"/>
      <c r="AE200" s="129"/>
      <c r="AF200" s="129"/>
      <c r="AG200" s="129"/>
      <c r="AH200" s="4"/>
      <c r="AI200" s="4"/>
      <c r="AJ200" s="1"/>
      <c r="AK200" s="129"/>
      <c r="AL200" s="129"/>
      <c r="AM200" s="129"/>
      <c r="AN200" s="129"/>
      <c r="AO200" s="1"/>
      <c r="AP200" s="1"/>
    </row>
    <row r="201" ht="12.75" customHeight="1">
      <c r="A201" s="1"/>
      <c r="B201" s="1" t="s">
        <v>128</v>
      </c>
      <c r="C201" s="1"/>
      <c r="D201" s="1"/>
      <c r="E201" s="128">
        <v>0.0</v>
      </c>
      <c r="F201" s="128">
        <v>0.0</v>
      </c>
      <c r="G201" s="128">
        <v>0.0</v>
      </c>
      <c r="H201" s="128">
        <v>0.0</v>
      </c>
      <c r="I201" s="128">
        <v>0.0</v>
      </c>
      <c r="J201" s="138">
        <v>0.0</v>
      </c>
      <c r="K201" s="129">
        <f t="shared" ref="K201:U201" si="291">+J201</f>
        <v>0</v>
      </c>
      <c r="L201" s="129">
        <f t="shared" si="291"/>
        <v>0</v>
      </c>
      <c r="M201" s="129">
        <f t="shared" si="291"/>
        <v>0</v>
      </c>
      <c r="N201" s="129">
        <f t="shared" si="291"/>
        <v>0</v>
      </c>
      <c r="O201" s="129">
        <f t="shared" si="291"/>
        <v>0</v>
      </c>
      <c r="P201" s="129">
        <f t="shared" si="291"/>
        <v>0</v>
      </c>
      <c r="Q201" s="129">
        <f t="shared" si="291"/>
        <v>0</v>
      </c>
      <c r="R201" s="129">
        <f t="shared" si="291"/>
        <v>0</v>
      </c>
      <c r="S201" s="129">
        <f t="shared" si="291"/>
        <v>0</v>
      </c>
      <c r="T201" s="129">
        <f t="shared" si="291"/>
        <v>0</v>
      </c>
      <c r="U201" s="129">
        <f t="shared" si="291"/>
        <v>0</v>
      </c>
      <c r="V201" s="138">
        <v>0.0</v>
      </c>
      <c r="W201" s="129">
        <f t="shared" ref="W201:AG201" si="292">+V201</f>
        <v>0</v>
      </c>
      <c r="X201" s="129">
        <f t="shared" si="292"/>
        <v>0</v>
      </c>
      <c r="Y201" s="129">
        <f t="shared" si="292"/>
        <v>0</v>
      </c>
      <c r="Z201" s="129">
        <f t="shared" si="292"/>
        <v>0</v>
      </c>
      <c r="AA201" s="129">
        <f t="shared" si="292"/>
        <v>0</v>
      </c>
      <c r="AB201" s="129">
        <f t="shared" si="292"/>
        <v>0</v>
      </c>
      <c r="AC201" s="129">
        <f t="shared" si="292"/>
        <v>0</v>
      </c>
      <c r="AD201" s="129">
        <f t="shared" si="292"/>
        <v>0</v>
      </c>
      <c r="AE201" s="129">
        <f t="shared" si="292"/>
        <v>0</v>
      </c>
      <c r="AF201" s="129">
        <f t="shared" si="292"/>
        <v>0</v>
      </c>
      <c r="AG201" s="129">
        <f t="shared" si="292"/>
        <v>0</v>
      </c>
      <c r="AH201" s="4"/>
      <c r="AI201" s="4"/>
      <c r="AJ201" s="27">
        <f>SUM(J201:U201)</f>
        <v>0</v>
      </c>
      <c r="AK201" s="27">
        <f>SUM(V201:AG201)</f>
        <v>0</v>
      </c>
      <c r="AL201" s="138">
        <v>0.0</v>
      </c>
      <c r="AM201" s="138">
        <v>0.0</v>
      </c>
      <c r="AN201" s="138">
        <v>0.0</v>
      </c>
      <c r="AO201" s="1"/>
      <c r="AP201" s="1"/>
    </row>
    <row r="202" ht="12.75" customHeight="1">
      <c r="A202" s="1"/>
      <c r="B202" s="1"/>
      <c r="C202" s="1"/>
      <c r="D202" s="1"/>
      <c r="E202" s="24"/>
      <c r="F202" s="24"/>
      <c r="G202" s="24"/>
      <c r="H202" s="24"/>
      <c r="I202" s="2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4"/>
      <c r="AI202" s="4"/>
      <c r="AJ202" s="1"/>
      <c r="AK202" s="1"/>
      <c r="AL202" s="1"/>
      <c r="AM202" s="1"/>
      <c r="AN202" s="1"/>
      <c r="AO202" s="1"/>
      <c r="AP202" s="1"/>
    </row>
    <row r="203" ht="12.75" customHeight="1">
      <c r="A203" s="1"/>
      <c r="B203" s="144" t="s">
        <v>129</v>
      </c>
      <c r="C203" s="144"/>
      <c r="D203" s="144"/>
      <c r="E203" s="154">
        <f t="shared" ref="E203:AG203" si="293">E137-E140-E144-E197-E147-E201</f>
        <v>-208.3333333</v>
      </c>
      <c r="F203" s="154">
        <f t="shared" si="293"/>
        <v>-194.8333333</v>
      </c>
      <c r="G203" s="154">
        <f t="shared" si="293"/>
        <v>-205.7083333</v>
      </c>
      <c r="H203" s="154">
        <f t="shared" si="293"/>
        <v>-217.7083333</v>
      </c>
      <c r="I203" s="154">
        <f t="shared" si="293"/>
        <v>-223.7083333</v>
      </c>
      <c r="J203" s="146">
        <f t="shared" si="293"/>
        <v>-391.681875</v>
      </c>
      <c r="K203" s="146">
        <f t="shared" si="293"/>
        <v>-390.2927167</v>
      </c>
      <c r="L203" s="146">
        <f t="shared" si="293"/>
        <v>-498.8907482</v>
      </c>
      <c r="M203" s="146">
        <f t="shared" si="293"/>
        <v>-364.5485956</v>
      </c>
      <c r="N203" s="146">
        <f t="shared" si="293"/>
        <v>-356.5885597</v>
      </c>
      <c r="O203" s="146">
        <f t="shared" si="293"/>
        <v>-387.6727355</v>
      </c>
      <c r="P203" s="146">
        <f t="shared" si="293"/>
        <v>-417.1663177</v>
      </c>
      <c r="Q203" s="146">
        <f t="shared" si="293"/>
        <v>-425.2143959</v>
      </c>
      <c r="R203" s="146">
        <f t="shared" si="293"/>
        <v>-390.3590313</v>
      </c>
      <c r="S203" s="146">
        <f t="shared" si="293"/>
        <v>-394.085522</v>
      </c>
      <c r="T203" s="146">
        <f t="shared" si="293"/>
        <v>-397.6612172</v>
      </c>
      <c r="U203" s="146">
        <f t="shared" si="293"/>
        <v>-395.9560001</v>
      </c>
      <c r="V203" s="146">
        <f t="shared" si="293"/>
        <v>-449.2215715</v>
      </c>
      <c r="W203" s="146">
        <f t="shared" si="293"/>
        <v>-493.7058699</v>
      </c>
      <c r="X203" s="146">
        <f t="shared" si="293"/>
        <v>-492.9583604</v>
      </c>
      <c r="Y203" s="146">
        <f t="shared" si="293"/>
        <v>-471.2824239</v>
      </c>
      <c r="Z203" s="146">
        <f t="shared" si="293"/>
        <v>-487.6646753</v>
      </c>
      <c r="AA203" s="146">
        <f t="shared" si="293"/>
        <v>-485.0728665</v>
      </c>
      <c r="AB203" s="146">
        <f t="shared" si="293"/>
        <v>-498.904449</v>
      </c>
      <c r="AC203" s="146">
        <f t="shared" si="293"/>
        <v>-526.3591299</v>
      </c>
      <c r="AD203" s="146">
        <f t="shared" si="293"/>
        <v>-524.2198281</v>
      </c>
      <c r="AE203" s="146">
        <f t="shared" si="293"/>
        <v>-500.3669607</v>
      </c>
      <c r="AF203" s="146">
        <f t="shared" si="293"/>
        <v>-517.8115268</v>
      </c>
      <c r="AG203" s="146">
        <f t="shared" si="293"/>
        <v>-514.3155998</v>
      </c>
      <c r="AH203" s="112"/>
      <c r="AI203" s="112"/>
      <c r="AJ203" s="146">
        <f t="shared" ref="AJ203:AN203" si="294">AJ137-AJ140-AJ144-AJ197-AJ147-AJ201</f>
        <v>-4810.117715</v>
      </c>
      <c r="AK203" s="146">
        <f t="shared" si="294"/>
        <v>-5961.883262</v>
      </c>
      <c r="AL203" s="146">
        <f t="shared" si="294"/>
        <v>-6854.511163</v>
      </c>
      <c r="AM203" s="146">
        <f t="shared" si="294"/>
        <v>-7475.740058</v>
      </c>
      <c r="AN203" s="146">
        <f t="shared" si="294"/>
        <v>-208.56129</v>
      </c>
      <c r="AO203" s="1"/>
      <c r="AP203" s="1"/>
    </row>
    <row r="204" ht="12.75" customHeight="1">
      <c r="A204" s="1"/>
      <c r="B204" s="52" t="s">
        <v>130</v>
      </c>
      <c r="C204" s="1"/>
      <c r="D204" s="1"/>
      <c r="E204" s="128">
        <f t="shared" ref="E204:AG204" si="295">IFERROR(E203/E$114,0)</f>
        <v>0</v>
      </c>
      <c r="F204" s="128">
        <f t="shared" si="295"/>
        <v>0</v>
      </c>
      <c r="G204" s="128">
        <f t="shared" si="295"/>
        <v>0</v>
      </c>
      <c r="H204" s="128">
        <f t="shared" si="295"/>
        <v>0</v>
      </c>
      <c r="I204" s="128">
        <f t="shared" si="295"/>
        <v>0</v>
      </c>
      <c r="J204" s="129">
        <f t="shared" si="295"/>
        <v>0</v>
      </c>
      <c r="K204" s="129">
        <f t="shared" si="295"/>
        <v>0</v>
      </c>
      <c r="L204" s="129">
        <f t="shared" si="295"/>
        <v>0</v>
      </c>
      <c r="M204" s="129">
        <f t="shared" si="295"/>
        <v>-2.981992602</v>
      </c>
      <c r="N204" s="129">
        <f t="shared" si="295"/>
        <v>-2.818324914</v>
      </c>
      <c r="O204" s="129">
        <f t="shared" si="295"/>
        <v>-4.325618405</v>
      </c>
      <c r="P204" s="129">
        <f t="shared" si="295"/>
        <v>-4.55122387</v>
      </c>
      <c r="Q204" s="129">
        <f t="shared" si="295"/>
        <v>-4.548028458</v>
      </c>
      <c r="R204" s="129">
        <f t="shared" si="295"/>
        <v>-1.79562265</v>
      </c>
      <c r="S204" s="129">
        <f t="shared" si="295"/>
        <v>-1.765969631</v>
      </c>
      <c r="T204" s="129">
        <f t="shared" si="295"/>
        <v>-1.741532727</v>
      </c>
      <c r="U204" s="129">
        <f t="shared" si="295"/>
        <v>-1.699339593</v>
      </c>
      <c r="V204" s="129">
        <f t="shared" si="295"/>
        <v>-1.893809726</v>
      </c>
      <c r="W204" s="129">
        <f t="shared" si="295"/>
        <v>-2.048702078</v>
      </c>
      <c r="X204" s="129">
        <f t="shared" si="295"/>
        <v>-2.017128166</v>
      </c>
      <c r="Y204" s="129">
        <f t="shared" si="295"/>
        <v>-1.27477811</v>
      </c>
      <c r="Z204" s="129">
        <f t="shared" si="295"/>
        <v>-1.294474708</v>
      </c>
      <c r="AA204" s="129">
        <f t="shared" si="295"/>
        <v>-1.266326722</v>
      </c>
      <c r="AB204" s="129">
        <f t="shared" si="295"/>
        <v>-1.161594786</v>
      </c>
      <c r="AC204" s="129">
        <f t="shared" si="295"/>
        <v>-1.207108378</v>
      </c>
      <c r="AD204" s="129">
        <f t="shared" si="295"/>
        <v>-1.186166268</v>
      </c>
      <c r="AE204" s="129">
        <f t="shared" si="295"/>
        <v>-0.8786072053</v>
      </c>
      <c r="AF204" s="129">
        <f t="shared" si="295"/>
        <v>-0.8950157854</v>
      </c>
      <c r="AG204" s="129">
        <f t="shared" si="295"/>
        <v>-0.8766317639</v>
      </c>
      <c r="AH204" s="4"/>
      <c r="AI204" s="4"/>
      <c r="AJ204" s="129">
        <f t="shared" ref="AJ204:AN204" si="296">IFERROR(AJ203/AJ$114,0)</f>
        <v>-3.374461029</v>
      </c>
      <c r="AK204" s="129">
        <f t="shared" si="296"/>
        <v>-1.218128872</v>
      </c>
      <c r="AL204" s="129">
        <f t="shared" si="296"/>
        <v>-0.5342887657</v>
      </c>
      <c r="AM204" s="129">
        <f t="shared" si="296"/>
        <v>-0.2703130777</v>
      </c>
      <c r="AN204" s="129">
        <f t="shared" si="296"/>
        <v>-0.003558823825</v>
      </c>
      <c r="AO204" s="1"/>
      <c r="AP204" s="1"/>
    </row>
    <row r="205" ht="12.75" customHeight="1">
      <c r="A205" s="1"/>
      <c r="B205" s="1"/>
      <c r="C205" s="1"/>
      <c r="D205" s="1"/>
      <c r="E205" s="24"/>
      <c r="F205" s="24"/>
      <c r="G205" s="24"/>
      <c r="H205" s="24"/>
      <c r="I205" s="2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4"/>
      <c r="AI205" s="4"/>
      <c r="AJ205" s="1"/>
      <c r="AK205" s="1"/>
      <c r="AL205" s="1"/>
      <c r="AM205" s="1"/>
      <c r="AN205" s="1"/>
      <c r="AO205" s="1"/>
      <c r="AP205" s="1"/>
    </row>
    <row r="206" ht="12.75" customHeight="1">
      <c r="A206" s="1"/>
      <c r="B206" s="1" t="s">
        <v>131</v>
      </c>
      <c r="C206" s="1"/>
      <c r="D206" s="1"/>
      <c r="E206" s="26">
        <v>0.0</v>
      </c>
      <c r="F206" s="26">
        <v>0.0</v>
      </c>
      <c r="G206" s="26">
        <v>0.0</v>
      </c>
      <c r="H206" s="26">
        <v>0.0</v>
      </c>
      <c r="I206" s="26">
        <v>0.0</v>
      </c>
      <c r="J206" s="27">
        <f t="shared" ref="J206:AG206" si="297">MAX((J203-J229)*J207,0)</f>
        <v>0</v>
      </c>
      <c r="K206" s="27">
        <f t="shared" si="297"/>
        <v>0</v>
      </c>
      <c r="L206" s="27">
        <f t="shared" si="297"/>
        <v>0</v>
      </c>
      <c r="M206" s="27">
        <f t="shared" si="297"/>
        <v>0</v>
      </c>
      <c r="N206" s="27">
        <f t="shared" si="297"/>
        <v>0</v>
      </c>
      <c r="O206" s="27">
        <f t="shared" si="297"/>
        <v>0</v>
      </c>
      <c r="P206" s="27">
        <f t="shared" si="297"/>
        <v>0</v>
      </c>
      <c r="Q206" s="27">
        <f t="shared" si="297"/>
        <v>0</v>
      </c>
      <c r="R206" s="27">
        <f t="shared" si="297"/>
        <v>0</v>
      </c>
      <c r="S206" s="27">
        <f t="shared" si="297"/>
        <v>0</v>
      </c>
      <c r="T206" s="27">
        <f t="shared" si="297"/>
        <v>0</v>
      </c>
      <c r="U206" s="27">
        <f t="shared" si="297"/>
        <v>0</v>
      </c>
      <c r="V206" s="27">
        <f t="shared" si="297"/>
        <v>0</v>
      </c>
      <c r="W206" s="27">
        <f t="shared" si="297"/>
        <v>0</v>
      </c>
      <c r="X206" s="27">
        <f t="shared" si="297"/>
        <v>0</v>
      </c>
      <c r="Y206" s="27">
        <f t="shared" si="297"/>
        <v>0</v>
      </c>
      <c r="Z206" s="27">
        <f t="shared" si="297"/>
        <v>0</v>
      </c>
      <c r="AA206" s="27">
        <f t="shared" si="297"/>
        <v>0</v>
      </c>
      <c r="AB206" s="27">
        <f t="shared" si="297"/>
        <v>0</v>
      </c>
      <c r="AC206" s="27">
        <f t="shared" si="297"/>
        <v>0</v>
      </c>
      <c r="AD206" s="27">
        <f t="shared" si="297"/>
        <v>0</v>
      </c>
      <c r="AE206" s="27">
        <f t="shared" si="297"/>
        <v>0</v>
      </c>
      <c r="AF206" s="27">
        <f t="shared" si="297"/>
        <v>0</v>
      </c>
      <c r="AG206" s="27">
        <f t="shared" si="297"/>
        <v>0</v>
      </c>
      <c r="AH206" s="4"/>
      <c r="AI206" s="4"/>
      <c r="AJ206" s="27">
        <f>SUM(J206:U206)</f>
        <v>0</v>
      </c>
      <c r="AK206" s="27">
        <f>SUM(V206:AG206)</f>
        <v>0</v>
      </c>
      <c r="AL206" s="27">
        <f t="shared" ref="AL206:AN206" si="298">MAX((AL203-AL229)*AL207,0)</f>
        <v>0</v>
      </c>
      <c r="AM206" s="27">
        <f t="shared" si="298"/>
        <v>0</v>
      </c>
      <c r="AN206" s="27">
        <f t="shared" si="298"/>
        <v>0</v>
      </c>
      <c r="AO206" s="1"/>
      <c r="AP206" s="1"/>
    </row>
    <row r="207" ht="12.75" customHeight="1">
      <c r="A207" s="1"/>
      <c r="B207" s="52" t="s">
        <v>132</v>
      </c>
      <c r="C207" s="1"/>
      <c r="D207" s="1"/>
      <c r="E207" s="26">
        <v>0.0</v>
      </c>
      <c r="F207" s="26">
        <v>0.0</v>
      </c>
      <c r="G207" s="26">
        <v>0.0</v>
      </c>
      <c r="H207" s="26">
        <v>0.0</v>
      </c>
      <c r="I207" s="26">
        <v>0.0</v>
      </c>
      <c r="J207" s="137">
        <v>0.21</v>
      </c>
      <c r="K207" s="129">
        <f t="shared" ref="K207:AG207" si="299">J207</f>
        <v>0.21</v>
      </c>
      <c r="L207" s="129">
        <f t="shared" si="299"/>
        <v>0.21</v>
      </c>
      <c r="M207" s="129">
        <f t="shared" si="299"/>
        <v>0.21</v>
      </c>
      <c r="N207" s="129">
        <f t="shared" si="299"/>
        <v>0.21</v>
      </c>
      <c r="O207" s="129">
        <f t="shared" si="299"/>
        <v>0.21</v>
      </c>
      <c r="P207" s="129">
        <f t="shared" si="299"/>
        <v>0.21</v>
      </c>
      <c r="Q207" s="129">
        <f t="shared" si="299"/>
        <v>0.21</v>
      </c>
      <c r="R207" s="129">
        <f t="shared" si="299"/>
        <v>0.21</v>
      </c>
      <c r="S207" s="129">
        <f t="shared" si="299"/>
        <v>0.21</v>
      </c>
      <c r="T207" s="129">
        <f t="shared" si="299"/>
        <v>0.21</v>
      </c>
      <c r="U207" s="129">
        <f t="shared" si="299"/>
        <v>0.21</v>
      </c>
      <c r="V207" s="129">
        <f t="shared" si="299"/>
        <v>0.21</v>
      </c>
      <c r="W207" s="129">
        <f t="shared" si="299"/>
        <v>0.21</v>
      </c>
      <c r="X207" s="129">
        <f t="shared" si="299"/>
        <v>0.21</v>
      </c>
      <c r="Y207" s="129">
        <f t="shared" si="299"/>
        <v>0.21</v>
      </c>
      <c r="Z207" s="129">
        <f t="shared" si="299"/>
        <v>0.21</v>
      </c>
      <c r="AA207" s="129">
        <f t="shared" si="299"/>
        <v>0.21</v>
      </c>
      <c r="AB207" s="129">
        <f t="shared" si="299"/>
        <v>0.21</v>
      </c>
      <c r="AC207" s="129">
        <f t="shared" si="299"/>
        <v>0.21</v>
      </c>
      <c r="AD207" s="129">
        <f t="shared" si="299"/>
        <v>0.21</v>
      </c>
      <c r="AE207" s="129">
        <f t="shared" si="299"/>
        <v>0.21</v>
      </c>
      <c r="AF207" s="129">
        <f t="shared" si="299"/>
        <v>0.21</v>
      </c>
      <c r="AG207" s="129">
        <f t="shared" si="299"/>
        <v>0.21</v>
      </c>
      <c r="AH207" s="4"/>
      <c r="AI207" s="4"/>
      <c r="AJ207" s="129">
        <f>AVERAGE(J207:U207)</f>
        <v>0.21</v>
      </c>
      <c r="AK207" s="129">
        <f>AVERAGE(V207:AG207)</f>
        <v>0.21</v>
      </c>
      <c r="AL207" s="129">
        <v>0.21</v>
      </c>
      <c r="AM207" s="129">
        <v>0.21</v>
      </c>
      <c r="AN207" s="129">
        <v>0.21</v>
      </c>
      <c r="AO207" s="1"/>
      <c r="AP207" s="1"/>
    </row>
    <row r="208" ht="12.75" customHeight="1">
      <c r="A208" s="1"/>
      <c r="B208" s="1"/>
      <c r="C208" s="1"/>
      <c r="D208" s="1"/>
      <c r="E208" s="24"/>
      <c r="F208" s="24"/>
      <c r="G208" s="24"/>
      <c r="H208" s="24"/>
      <c r="I208" s="2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4"/>
      <c r="AI208" s="4"/>
      <c r="AJ208" s="1"/>
      <c r="AK208" s="1"/>
      <c r="AL208" s="1"/>
      <c r="AM208" s="1"/>
      <c r="AN208" s="1"/>
      <c r="AO208" s="1"/>
      <c r="AP208" s="1"/>
    </row>
    <row r="209" ht="12.75" customHeight="1">
      <c r="A209" s="1"/>
      <c r="B209" s="144" t="s">
        <v>133</v>
      </c>
      <c r="C209" s="144"/>
      <c r="D209" s="144"/>
      <c r="E209" s="154">
        <f t="shared" ref="E209:AG209" si="300">E203-E206</f>
        <v>-208.3333333</v>
      </c>
      <c r="F209" s="154">
        <f t="shared" si="300"/>
        <v>-194.8333333</v>
      </c>
      <c r="G209" s="154">
        <f t="shared" si="300"/>
        <v>-205.7083333</v>
      </c>
      <c r="H209" s="154">
        <f t="shared" si="300"/>
        <v>-217.7083333</v>
      </c>
      <c r="I209" s="154">
        <f t="shared" si="300"/>
        <v>-223.7083333</v>
      </c>
      <c r="J209" s="146">
        <f t="shared" si="300"/>
        <v>-391.681875</v>
      </c>
      <c r="K209" s="146">
        <f t="shared" si="300"/>
        <v>-390.2927167</v>
      </c>
      <c r="L209" s="146">
        <f t="shared" si="300"/>
        <v>-498.8907482</v>
      </c>
      <c r="M209" s="146">
        <f t="shared" si="300"/>
        <v>-364.5485956</v>
      </c>
      <c r="N209" s="146">
        <f t="shared" si="300"/>
        <v>-356.5885597</v>
      </c>
      <c r="O209" s="146">
        <f t="shared" si="300"/>
        <v>-387.6727355</v>
      </c>
      <c r="P209" s="146">
        <f t="shared" si="300"/>
        <v>-417.1663177</v>
      </c>
      <c r="Q209" s="146">
        <f t="shared" si="300"/>
        <v>-425.2143959</v>
      </c>
      <c r="R209" s="146">
        <f t="shared" si="300"/>
        <v>-390.3590313</v>
      </c>
      <c r="S209" s="146">
        <f t="shared" si="300"/>
        <v>-394.085522</v>
      </c>
      <c r="T209" s="146">
        <f t="shared" si="300"/>
        <v>-397.6612172</v>
      </c>
      <c r="U209" s="146">
        <f t="shared" si="300"/>
        <v>-395.9560001</v>
      </c>
      <c r="V209" s="146">
        <f t="shared" si="300"/>
        <v>-449.2215715</v>
      </c>
      <c r="W209" s="146">
        <f t="shared" si="300"/>
        <v>-493.7058699</v>
      </c>
      <c r="X209" s="146">
        <f t="shared" si="300"/>
        <v>-492.9583604</v>
      </c>
      <c r="Y209" s="146">
        <f t="shared" si="300"/>
        <v>-471.2824239</v>
      </c>
      <c r="Z209" s="146">
        <f t="shared" si="300"/>
        <v>-487.6646753</v>
      </c>
      <c r="AA209" s="146">
        <f t="shared" si="300"/>
        <v>-485.0728665</v>
      </c>
      <c r="AB209" s="146">
        <f t="shared" si="300"/>
        <v>-498.904449</v>
      </c>
      <c r="AC209" s="146">
        <f t="shared" si="300"/>
        <v>-526.3591299</v>
      </c>
      <c r="AD209" s="146">
        <f t="shared" si="300"/>
        <v>-524.2198281</v>
      </c>
      <c r="AE209" s="146">
        <f t="shared" si="300"/>
        <v>-500.3669607</v>
      </c>
      <c r="AF209" s="146">
        <f t="shared" si="300"/>
        <v>-517.8115268</v>
      </c>
      <c r="AG209" s="146">
        <f t="shared" si="300"/>
        <v>-514.3155998</v>
      </c>
      <c r="AH209" s="112"/>
      <c r="AI209" s="112"/>
      <c r="AJ209" s="146">
        <f t="shared" ref="AJ209:AN209" si="301">AJ203-AJ206</f>
        <v>-4810.117715</v>
      </c>
      <c r="AK209" s="146">
        <f t="shared" si="301"/>
        <v>-5961.883262</v>
      </c>
      <c r="AL209" s="146">
        <f t="shared" si="301"/>
        <v>-6854.511163</v>
      </c>
      <c r="AM209" s="146">
        <f t="shared" si="301"/>
        <v>-7475.740058</v>
      </c>
      <c r="AN209" s="146">
        <f t="shared" si="301"/>
        <v>-208.56129</v>
      </c>
      <c r="AO209" s="1"/>
      <c r="AP209" s="1"/>
    </row>
    <row r="210" ht="12.75" customHeight="1">
      <c r="A210" s="1"/>
      <c r="B210" s="52" t="s">
        <v>134</v>
      </c>
      <c r="C210" s="1"/>
      <c r="D210" s="1"/>
      <c r="E210" s="128">
        <f t="shared" ref="E210:AG210" si="302">IFERROR(E209/E$114,0)</f>
        <v>0</v>
      </c>
      <c r="F210" s="128">
        <f t="shared" si="302"/>
        <v>0</v>
      </c>
      <c r="G210" s="128">
        <f t="shared" si="302"/>
        <v>0</v>
      </c>
      <c r="H210" s="128">
        <f t="shared" si="302"/>
        <v>0</v>
      </c>
      <c r="I210" s="128">
        <f t="shared" si="302"/>
        <v>0</v>
      </c>
      <c r="J210" s="129">
        <f t="shared" si="302"/>
        <v>0</v>
      </c>
      <c r="K210" s="129">
        <f t="shared" si="302"/>
        <v>0</v>
      </c>
      <c r="L210" s="129">
        <f t="shared" si="302"/>
        <v>0</v>
      </c>
      <c r="M210" s="129">
        <f t="shared" si="302"/>
        <v>-2.981992602</v>
      </c>
      <c r="N210" s="129">
        <f t="shared" si="302"/>
        <v>-2.818324914</v>
      </c>
      <c r="O210" s="129">
        <f t="shared" si="302"/>
        <v>-4.325618405</v>
      </c>
      <c r="P210" s="129">
        <f t="shared" si="302"/>
        <v>-4.55122387</v>
      </c>
      <c r="Q210" s="129">
        <f t="shared" si="302"/>
        <v>-4.548028458</v>
      </c>
      <c r="R210" s="129">
        <f t="shared" si="302"/>
        <v>-1.79562265</v>
      </c>
      <c r="S210" s="129">
        <f t="shared" si="302"/>
        <v>-1.765969631</v>
      </c>
      <c r="T210" s="129">
        <f t="shared" si="302"/>
        <v>-1.741532727</v>
      </c>
      <c r="U210" s="129">
        <f t="shared" si="302"/>
        <v>-1.699339593</v>
      </c>
      <c r="V210" s="129">
        <f t="shared" si="302"/>
        <v>-1.893809726</v>
      </c>
      <c r="W210" s="129">
        <f t="shared" si="302"/>
        <v>-2.048702078</v>
      </c>
      <c r="X210" s="129">
        <f t="shared" si="302"/>
        <v>-2.017128166</v>
      </c>
      <c r="Y210" s="129">
        <f t="shared" si="302"/>
        <v>-1.27477811</v>
      </c>
      <c r="Z210" s="129">
        <f t="shared" si="302"/>
        <v>-1.294474708</v>
      </c>
      <c r="AA210" s="129">
        <f t="shared" si="302"/>
        <v>-1.266326722</v>
      </c>
      <c r="AB210" s="129">
        <f t="shared" si="302"/>
        <v>-1.161594786</v>
      </c>
      <c r="AC210" s="129">
        <f t="shared" si="302"/>
        <v>-1.207108378</v>
      </c>
      <c r="AD210" s="129">
        <f t="shared" si="302"/>
        <v>-1.186166268</v>
      </c>
      <c r="AE210" s="129">
        <f t="shared" si="302"/>
        <v>-0.8786072053</v>
      </c>
      <c r="AF210" s="129">
        <f t="shared" si="302"/>
        <v>-0.8950157854</v>
      </c>
      <c r="AG210" s="129">
        <f t="shared" si="302"/>
        <v>-0.8766317639</v>
      </c>
      <c r="AH210" s="4"/>
      <c r="AI210" s="4"/>
      <c r="AJ210" s="129">
        <f t="shared" ref="AJ210:AN210" si="303">IFERROR(AJ209/AJ$114,0)</f>
        <v>-3.374461029</v>
      </c>
      <c r="AK210" s="129">
        <f t="shared" si="303"/>
        <v>-1.218128872</v>
      </c>
      <c r="AL210" s="129">
        <f t="shared" si="303"/>
        <v>-0.5342887657</v>
      </c>
      <c r="AM210" s="129">
        <f t="shared" si="303"/>
        <v>-0.2703130777</v>
      </c>
      <c r="AN210" s="129">
        <f t="shared" si="303"/>
        <v>-0.003558823825</v>
      </c>
      <c r="AO210" s="1"/>
      <c r="AP210" s="1"/>
    </row>
    <row r="211" ht="12.75" customHeight="1">
      <c r="A211" s="1"/>
      <c r="B211" s="1"/>
      <c r="C211" s="1"/>
      <c r="D211" s="1"/>
      <c r="E211" s="24"/>
      <c r="F211" s="24"/>
      <c r="G211" s="24"/>
      <c r="H211" s="24"/>
      <c r="I211" s="2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4"/>
      <c r="AI211" s="4"/>
      <c r="AJ211" s="1"/>
      <c r="AK211" s="1"/>
      <c r="AL211" s="1"/>
      <c r="AM211" s="1"/>
      <c r="AN211" s="1"/>
      <c r="AO211" s="1"/>
      <c r="AP211" s="1"/>
    </row>
    <row r="212" ht="12.75" customHeight="1">
      <c r="A212" s="1"/>
      <c r="B212" s="2" t="s">
        <v>135</v>
      </c>
      <c r="C212" s="95"/>
      <c r="D212" s="95"/>
      <c r="E212" s="96"/>
      <c r="F212" s="96"/>
      <c r="G212" s="96"/>
      <c r="H212" s="96"/>
      <c r="I212" s="96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23"/>
      <c r="AI212" s="23"/>
      <c r="AJ212" s="95"/>
      <c r="AK212" s="95"/>
      <c r="AL212" s="95"/>
      <c r="AM212" s="95"/>
      <c r="AN212" s="95"/>
      <c r="AO212" s="1"/>
      <c r="AP212" s="1"/>
    </row>
    <row r="213" ht="12.75" customHeight="1">
      <c r="A213" s="1"/>
      <c r="B213" s="1"/>
      <c r="C213" s="1"/>
      <c r="D213" s="1"/>
      <c r="E213" s="24"/>
      <c r="F213" s="24"/>
      <c r="G213" s="24"/>
      <c r="H213" s="24"/>
      <c r="I213" s="2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4"/>
      <c r="AI213" s="4"/>
      <c r="AJ213" s="1"/>
      <c r="AK213" s="1"/>
      <c r="AL213" s="1"/>
      <c r="AM213" s="1"/>
      <c r="AN213" s="1"/>
      <c r="AO213" s="1"/>
      <c r="AP213" s="1"/>
    </row>
    <row r="214" ht="12.75" customHeight="1">
      <c r="A214" s="1"/>
      <c r="B214" s="1" t="s">
        <v>136</v>
      </c>
      <c r="C214" s="1"/>
      <c r="D214" s="1"/>
      <c r="E214" s="89">
        <v>3000.0</v>
      </c>
      <c r="F214" s="89">
        <f t="shared" ref="F214:AG214" si="304">E223</f>
        <v>2791.666667</v>
      </c>
      <c r="G214" s="89">
        <f t="shared" si="304"/>
        <v>2596.833333</v>
      </c>
      <c r="H214" s="89">
        <f t="shared" si="304"/>
        <v>2391.125</v>
      </c>
      <c r="I214" s="89">
        <f t="shared" si="304"/>
        <v>2173.416667</v>
      </c>
      <c r="J214" s="103">
        <f t="shared" si="304"/>
        <v>1949.708333</v>
      </c>
      <c r="K214" s="103">
        <f t="shared" si="304"/>
        <v>1543.026458</v>
      </c>
      <c r="L214" s="103">
        <f t="shared" si="304"/>
        <v>1077.733742</v>
      </c>
      <c r="M214" s="103">
        <f t="shared" si="304"/>
        <v>548.8429935</v>
      </c>
      <c r="N214" s="103">
        <f t="shared" si="304"/>
        <v>113.2943979</v>
      </c>
      <c r="O214" s="103">
        <f t="shared" si="304"/>
        <v>-195.5441618</v>
      </c>
      <c r="P214" s="103">
        <f t="shared" si="304"/>
        <v>-581.383564</v>
      </c>
      <c r="Q214" s="103">
        <f t="shared" si="304"/>
        <v>-1091.716548</v>
      </c>
      <c r="R214" s="103">
        <f t="shared" si="304"/>
        <v>-1485.653167</v>
      </c>
      <c r="S214" s="103">
        <f t="shared" si="304"/>
        <v>-1842.817753</v>
      </c>
      <c r="T214" s="103">
        <f t="shared" si="304"/>
        <v>-2346.208831</v>
      </c>
      <c r="U214" s="103">
        <f t="shared" si="304"/>
        <v>-2666.254307</v>
      </c>
      <c r="V214" s="103">
        <f t="shared" si="304"/>
        <v>-3044.594567</v>
      </c>
      <c r="W214" s="103">
        <f t="shared" si="304"/>
        <v>-3616.200397</v>
      </c>
      <c r="X214" s="103">
        <f t="shared" si="304"/>
        <v>-4043.260736</v>
      </c>
      <c r="Y214" s="103">
        <f t="shared" si="304"/>
        <v>-4544.573565</v>
      </c>
      <c r="Z214" s="103">
        <f t="shared" si="304"/>
        <v>-5159.223139</v>
      </c>
      <c r="AA214" s="103">
        <f t="shared" si="304"/>
        <v>-5542.449006</v>
      </c>
      <c r="AB214" s="103">
        <f t="shared" si="304"/>
        <v>-6013.083064</v>
      </c>
      <c r="AC214" s="103">
        <f t="shared" si="304"/>
        <v>-6694.493853</v>
      </c>
      <c r="AD214" s="103">
        <f t="shared" si="304"/>
        <v>-7103.78246</v>
      </c>
      <c r="AE214" s="103">
        <f t="shared" si="304"/>
        <v>-7600.931766</v>
      </c>
      <c r="AF214" s="103">
        <f t="shared" si="304"/>
        <v>-8245.204696</v>
      </c>
      <c r="AG214" s="103">
        <f t="shared" si="304"/>
        <v>-8607.00279</v>
      </c>
      <c r="AH214" s="4"/>
      <c r="AI214" s="4"/>
      <c r="AJ214" s="103">
        <f>J214</f>
        <v>1949.708333</v>
      </c>
      <c r="AK214" s="103">
        <f t="shared" ref="AK214:AN214" si="305">AJ223</f>
        <v>-3044.594567</v>
      </c>
      <c r="AL214" s="103">
        <f t="shared" si="305"/>
        <v>-9085.304957</v>
      </c>
      <c r="AM214" s="103">
        <f t="shared" si="305"/>
        <v>-15976.05621</v>
      </c>
      <c r="AN214" s="103">
        <f t="shared" si="305"/>
        <v>-23555.37654</v>
      </c>
      <c r="AO214" s="1"/>
      <c r="AP214" s="1"/>
    </row>
    <row r="215" ht="12.75" customHeight="1">
      <c r="A215" s="1"/>
      <c r="B215" s="1"/>
      <c r="C215" s="1"/>
      <c r="D215" s="1"/>
      <c r="E215" s="24"/>
      <c r="F215" s="24"/>
      <c r="G215" s="24"/>
      <c r="H215" s="24"/>
      <c r="I215" s="2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4"/>
      <c r="AI215" s="4"/>
      <c r="AJ215" s="1"/>
      <c r="AK215" s="1"/>
      <c r="AL215" s="1"/>
      <c r="AM215" s="1"/>
      <c r="AN215" s="1"/>
      <c r="AO215" s="1"/>
      <c r="AP215" s="1"/>
    </row>
    <row r="216" ht="12.75" customHeight="1">
      <c r="A216" s="1"/>
      <c r="B216" s="1" t="s">
        <v>137</v>
      </c>
      <c r="C216" s="1"/>
      <c r="D216" s="1"/>
      <c r="E216" s="26">
        <f t="shared" ref="E216:AG216" si="306">E209</f>
        <v>-208.3333333</v>
      </c>
      <c r="F216" s="26">
        <f t="shared" si="306"/>
        <v>-194.8333333</v>
      </c>
      <c r="G216" s="26">
        <f t="shared" si="306"/>
        <v>-205.7083333</v>
      </c>
      <c r="H216" s="26">
        <f t="shared" si="306"/>
        <v>-217.7083333</v>
      </c>
      <c r="I216" s="26">
        <f t="shared" si="306"/>
        <v>-223.7083333</v>
      </c>
      <c r="J216" s="27">
        <f t="shared" si="306"/>
        <v>-391.681875</v>
      </c>
      <c r="K216" s="27">
        <f t="shared" si="306"/>
        <v>-390.2927167</v>
      </c>
      <c r="L216" s="27">
        <f t="shared" si="306"/>
        <v>-498.8907482</v>
      </c>
      <c r="M216" s="27">
        <f t="shared" si="306"/>
        <v>-364.5485956</v>
      </c>
      <c r="N216" s="27">
        <f t="shared" si="306"/>
        <v>-356.5885597</v>
      </c>
      <c r="O216" s="27">
        <f t="shared" si="306"/>
        <v>-387.6727355</v>
      </c>
      <c r="P216" s="27">
        <f t="shared" si="306"/>
        <v>-417.1663177</v>
      </c>
      <c r="Q216" s="27">
        <f t="shared" si="306"/>
        <v>-425.2143959</v>
      </c>
      <c r="R216" s="27">
        <f t="shared" si="306"/>
        <v>-390.3590313</v>
      </c>
      <c r="S216" s="27">
        <f t="shared" si="306"/>
        <v>-394.085522</v>
      </c>
      <c r="T216" s="27">
        <f t="shared" si="306"/>
        <v>-397.6612172</v>
      </c>
      <c r="U216" s="27">
        <f t="shared" si="306"/>
        <v>-395.9560001</v>
      </c>
      <c r="V216" s="27">
        <f t="shared" si="306"/>
        <v>-449.2215715</v>
      </c>
      <c r="W216" s="27">
        <f t="shared" si="306"/>
        <v>-493.7058699</v>
      </c>
      <c r="X216" s="27">
        <f t="shared" si="306"/>
        <v>-492.9583604</v>
      </c>
      <c r="Y216" s="27">
        <f t="shared" si="306"/>
        <v>-471.2824239</v>
      </c>
      <c r="Z216" s="27">
        <f t="shared" si="306"/>
        <v>-487.6646753</v>
      </c>
      <c r="AA216" s="27">
        <f t="shared" si="306"/>
        <v>-485.0728665</v>
      </c>
      <c r="AB216" s="27">
        <f t="shared" si="306"/>
        <v>-498.904449</v>
      </c>
      <c r="AC216" s="27">
        <f t="shared" si="306"/>
        <v>-526.3591299</v>
      </c>
      <c r="AD216" s="27">
        <f t="shared" si="306"/>
        <v>-524.2198281</v>
      </c>
      <c r="AE216" s="27">
        <f t="shared" si="306"/>
        <v>-500.3669607</v>
      </c>
      <c r="AF216" s="27">
        <f t="shared" si="306"/>
        <v>-517.8115268</v>
      </c>
      <c r="AG216" s="27">
        <f t="shared" si="306"/>
        <v>-514.3155998</v>
      </c>
      <c r="AH216" s="4"/>
      <c r="AI216" s="4"/>
      <c r="AJ216" s="27">
        <f>SUM(J216:U216)</f>
        <v>-4810.117715</v>
      </c>
      <c r="AK216" s="27">
        <f>SUM(V216:AG216)</f>
        <v>-5961.883262</v>
      </c>
      <c r="AL216" s="27">
        <f t="shared" ref="AL216:AN216" si="307">AL209</f>
        <v>-6854.511163</v>
      </c>
      <c r="AM216" s="27">
        <f t="shared" si="307"/>
        <v>-7475.740058</v>
      </c>
      <c r="AN216" s="27">
        <f t="shared" si="307"/>
        <v>-208.56129</v>
      </c>
      <c r="AO216" s="1"/>
      <c r="AP216" s="1"/>
    </row>
    <row r="217" ht="12.75" customHeight="1">
      <c r="A217" s="1"/>
      <c r="B217" s="1" t="s">
        <v>138</v>
      </c>
      <c r="C217" s="1"/>
      <c r="D217" s="1"/>
      <c r="E217" s="26">
        <f t="shared" ref="E217:AG217" si="308">+E201</f>
        <v>0</v>
      </c>
      <c r="F217" s="26">
        <f t="shared" si="308"/>
        <v>0</v>
      </c>
      <c r="G217" s="26">
        <f t="shared" si="308"/>
        <v>0</v>
      </c>
      <c r="H217" s="26">
        <f t="shared" si="308"/>
        <v>0</v>
      </c>
      <c r="I217" s="26">
        <f t="shared" si="308"/>
        <v>0</v>
      </c>
      <c r="J217" s="27">
        <f t="shared" si="308"/>
        <v>0</v>
      </c>
      <c r="K217" s="27">
        <f t="shared" si="308"/>
        <v>0</v>
      </c>
      <c r="L217" s="27">
        <f t="shared" si="308"/>
        <v>0</v>
      </c>
      <c r="M217" s="27">
        <f t="shared" si="308"/>
        <v>0</v>
      </c>
      <c r="N217" s="27">
        <f t="shared" si="308"/>
        <v>0</v>
      </c>
      <c r="O217" s="27">
        <f t="shared" si="308"/>
        <v>0</v>
      </c>
      <c r="P217" s="27">
        <f t="shared" si="308"/>
        <v>0</v>
      </c>
      <c r="Q217" s="27">
        <f t="shared" si="308"/>
        <v>0</v>
      </c>
      <c r="R217" s="27">
        <f t="shared" si="308"/>
        <v>0</v>
      </c>
      <c r="S217" s="27">
        <f t="shared" si="308"/>
        <v>0</v>
      </c>
      <c r="T217" s="27">
        <f t="shared" si="308"/>
        <v>0</v>
      </c>
      <c r="U217" s="27">
        <f t="shared" si="308"/>
        <v>0</v>
      </c>
      <c r="V217" s="27">
        <f t="shared" si="308"/>
        <v>0</v>
      </c>
      <c r="W217" s="27">
        <f t="shared" si="308"/>
        <v>0</v>
      </c>
      <c r="X217" s="27">
        <f t="shared" si="308"/>
        <v>0</v>
      </c>
      <c r="Y217" s="27">
        <f t="shared" si="308"/>
        <v>0</v>
      </c>
      <c r="Z217" s="27">
        <f t="shared" si="308"/>
        <v>0</v>
      </c>
      <c r="AA217" s="27">
        <f t="shared" si="308"/>
        <v>0</v>
      </c>
      <c r="AB217" s="27">
        <f t="shared" si="308"/>
        <v>0</v>
      </c>
      <c r="AC217" s="27">
        <f t="shared" si="308"/>
        <v>0</v>
      </c>
      <c r="AD217" s="27">
        <f t="shared" si="308"/>
        <v>0</v>
      </c>
      <c r="AE217" s="27">
        <f t="shared" si="308"/>
        <v>0</v>
      </c>
      <c r="AF217" s="27">
        <f t="shared" si="308"/>
        <v>0</v>
      </c>
      <c r="AG217" s="27">
        <f t="shared" si="308"/>
        <v>0</v>
      </c>
      <c r="AH217" s="4"/>
      <c r="AI217" s="4"/>
      <c r="AJ217" s="27">
        <f t="shared" ref="AJ217:AN217" si="309">+AJ201</f>
        <v>0</v>
      </c>
      <c r="AK217" s="27">
        <f t="shared" si="309"/>
        <v>0</v>
      </c>
      <c r="AL217" s="27">
        <f t="shared" si="309"/>
        <v>0</v>
      </c>
      <c r="AM217" s="27">
        <f t="shared" si="309"/>
        <v>0</v>
      </c>
      <c r="AN217" s="27">
        <f t="shared" si="309"/>
        <v>0</v>
      </c>
      <c r="AO217" s="1"/>
      <c r="AP217" s="1"/>
    </row>
    <row r="218" ht="12.75" customHeight="1">
      <c r="A218" s="1"/>
      <c r="B218" s="1" t="s">
        <v>139</v>
      </c>
      <c r="C218" s="1"/>
      <c r="D218" s="1"/>
      <c r="E218" s="26">
        <f t="shared" ref="E218:AG218" si="310">(E69+E93)-(E72+E96)</f>
        <v>0</v>
      </c>
      <c r="F218" s="26">
        <f t="shared" si="310"/>
        <v>0</v>
      </c>
      <c r="G218" s="26">
        <f t="shared" si="310"/>
        <v>0</v>
      </c>
      <c r="H218" s="26">
        <f t="shared" si="310"/>
        <v>0</v>
      </c>
      <c r="I218" s="26">
        <f t="shared" si="310"/>
        <v>0</v>
      </c>
      <c r="J218" s="27">
        <f t="shared" si="310"/>
        <v>-15</v>
      </c>
      <c r="K218" s="27">
        <f t="shared" si="310"/>
        <v>-75</v>
      </c>
      <c r="L218" s="27">
        <f t="shared" si="310"/>
        <v>-30</v>
      </c>
      <c r="M218" s="27">
        <f t="shared" si="310"/>
        <v>-71</v>
      </c>
      <c r="N218" s="27">
        <f t="shared" si="310"/>
        <v>47.75</v>
      </c>
      <c r="O218" s="27">
        <f t="shared" si="310"/>
        <v>1.833333333</v>
      </c>
      <c r="P218" s="27">
        <f t="shared" si="310"/>
        <v>-93.16666667</v>
      </c>
      <c r="Q218" s="27">
        <f t="shared" si="310"/>
        <v>31.27777778</v>
      </c>
      <c r="R218" s="27">
        <f t="shared" si="310"/>
        <v>33.19444444</v>
      </c>
      <c r="S218" s="27">
        <f t="shared" si="310"/>
        <v>-109.3055556</v>
      </c>
      <c r="T218" s="27">
        <f t="shared" si="310"/>
        <v>77.61574074</v>
      </c>
      <c r="U218" s="27">
        <f t="shared" si="310"/>
        <v>17.61574074</v>
      </c>
      <c r="V218" s="27">
        <f t="shared" si="310"/>
        <v>-122.3842593</v>
      </c>
      <c r="W218" s="27">
        <f t="shared" si="310"/>
        <v>66.6455314</v>
      </c>
      <c r="X218" s="27">
        <f t="shared" si="310"/>
        <v>-8.354468599</v>
      </c>
      <c r="Y218" s="27">
        <f t="shared" si="310"/>
        <v>-143.3671498</v>
      </c>
      <c r="Z218" s="27">
        <f t="shared" si="310"/>
        <v>104.4388084</v>
      </c>
      <c r="AA218" s="27">
        <f t="shared" si="310"/>
        <v>14.43880837</v>
      </c>
      <c r="AB218" s="27">
        <f t="shared" si="310"/>
        <v>-182.5063406</v>
      </c>
      <c r="AC218" s="27">
        <f t="shared" si="310"/>
        <v>117.0705228</v>
      </c>
      <c r="AD218" s="27">
        <f t="shared" si="310"/>
        <v>27.07052277</v>
      </c>
      <c r="AE218" s="27">
        <f t="shared" si="310"/>
        <v>-143.9059696</v>
      </c>
      <c r="AF218" s="27">
        <f t="shared" si="310"/>
        <v>156.0134329</v>
      </c>
      <c r="AG218" s="27">
        <f t="shared" si="310"/>
        <v>36.01343291</v>
      </c>
      <c r="AH218" s="4"/>
      <c r="AI218" s="4"/>
      <c r="AJ218" s="27">
        <f t="shared" ref="AJ218:AJ219" si="313">SUM(J218:U218)</f>
        <v>-184.1851852</v>
      </c>
      <c r="AK218" s="27">
        <f t="shared" ref="AK218:AK219" si="314">SUM(V218:AG218)</f>
        <v>-78.82712832</v>
      </c>
      <c r="AL218" s="27">
        <f t="shared" ref="AL218:AN218" si="311">AL93-AL96</f>
        <v>-36.24009068</v>
      </c>
      <c r="AM218" s="27">
        <f t="shared" si="311"/>
        <v>-103.5802754</v>
      </c>
      <c r="AN218" s="27">
        <f t="shared" si="311"/>
        <v>-158.2511796</v>
      </c>
      <c r="AO218" s="1"/>
      <c r="AP218" s="1"/>
    </row>
    <row r="219" ht="12.75" customHeight="1">
      <c r="A219" s="1"/>
      <c r="B219" s="1" t="s">
        <v>140</v>
      </c>
      <c r="C219" s="1"/>
      <c r="D219" s="1"/>
      <c r="E219" s="26">
        <v>0.0</v>
      </c>
      <c r="F219" s="26">
        <v>0.0</v>
      </c>
      <c r="G219" s="26">
        <v>0.0</v>
      </c>
      <c r="H219" s="26">
        <v>0.0</v>
      </c>
      <c r="I219" s="26">
        <v>0.0</v>
      </c>
      <c r="J219" s="30">
        <v>0.0</v>
      </c>
      <c r="K219" s="30">
        <f t="shared" ref="K219:AG219" si="312">J219</f>
        <v>0</v>
      </c>
      <c r="L219" s="30">
        <f t="shared" si="312"/>
        <v>0</v>
      </c>
      <c r="M219" s="30">
        <f t="shared" si="312"/>
        <v>0</v>
      </c>
      <c r="N219" s="30">
        <f t="shared" si="312"/>
        <v>0</v>
      </c>
      <c r="O219" s="30">
        <f t="shared" si="312"/>
        <v>0</v>
      </c>
      <c r="P219" s="30">
        <f t="shared" si="312"/>
        <v>0</v>
      </c>
      <c r="Q219" s="30">
        <f t="shared" si="312"/>
        <v>0</v>
      </c>
      <c r="R219" s="30">
        <f t="shared" si="312"/>
        <v>0</v>
      </c>
      <c r="S219" s="30">
        <f t="shared" si="312"/>
        <v>0</v>
      </c>
      <c r="T219" s="30">
        <f t="shared" si="312"/>
        <v>0</v>
      </c>
      <c r="U219" s="30">
        <f t="shared" si="312"/>
        <v>0</v>
      </c>
      <c r="V219" s="30">
        <f t="shared" si="312"/>
        <v>0</v>
      </c>
      <c r="W219" s="30">
        <f t="shared" si="312"/>
        <v>0</v>
      </c>
      <c r="X219" s="30">
        <f t="shared" si="312"/>
        <v>0</v>
      </c>
      <c r="Y219" s="30">
        <f t="shared" si="312"/>
        <v>0</v>
      </c>
      <c r="Z219" s="30">
        <f t="shared" si="312"/>
        <v>0</v>
      </c>
      <c r="AA219" s="30">
        <f t="shared" si="312"/>
        <v>0</v>
      </c>
      <c r="AB219" s="30">
        <f t="shared" si="312"/>
        <v>0</v>
      </c>
      <c r="AC219" s="30">
        <f t="shared" si="312"/>
        <v>0</v>
      </c>
      <c r="AD219" s="30">
        <f t="shared" si="312"/>
        <v>0</v>
      </c>
      <c r="AE219" s="30">
        <f t="shared" si="312"/>
        <v>0</v>
      </c>
      <c r="AF219" s="30">
        <f t="shared" si="312"/>
        <v>0</v>
      </c>
      <c r="AG219" s="32">
        <f t="shared" si="312"/>
        <v>0</v>
      </c>
      <c r="AH219" s="4"/>
      <c r="AI219" s="4"/>
      <c r="AJ219" s="27">
        <f t="shared" si="313"/>
        <v>0</v>
      </c>
      <c r="AK219" s="27">
        <f t="shared" si="314"/>
        <v>0</v>
      </c>
      <c r="AL219" s="147">
        <v>0.0</v>
      </c>
      <c r="AM219" s="147">
        <v>0.0</v>
      </c>
      <c r="AN219" s="147">
        <v>0.0</v>
      </c>
      <c r="AO219" s="1"/>
      <c r="AP219" s="1"/>
    </row>
    <row r="220" ht="12.75" customHeight="1">
      <c r="A220" s="1"/>
      <c r="B220" s="144" t="s">
        <v>141</v>
      </c>
      <c r="C220" s="144"/>
      <c r="D220" s="144"/>
      <c r="E220" s="154">
        <f t="shared" ref="E220:AG220" si="315">SUM(E216:E219)</f>
        <v>-208.3333333</v>
      </c>
      <c r="F220" s="154">
        <f t="shared" si="315"/>
        <v>-194.8333333</v>
      </c>
      <c r="G220" s="154">
        <f t="shared" si="315"/>
        <v>-205.7083333</v>
      </c>
      <c r="H220" s="154">
        <f t="shared" si="315"/>
        <v>-217.7083333</v>
      </c>
      <c r="I220" s="154">
        <f t="shared" si="315"/>
        <v>-223.7083333</v>
      </c>
      <c r="J220" s="146">
        <f t="shared" si="315"/>
        <v>-406.681875</v>
      </c>
      <c r="K220" s="146">
        <f t="shared" si="315"/>
        <v>-465.2927167</v>
      </c>
      <c r="L220" s="146">
        <f t="shared" si="315"/>
        <v>-528.8907482</v>
      </c>
      <c r="M220" s="146">
        <f t="shared" si="315"/>
        <v>-435.5485956</v>
      </c>
      <c r="N220" s="146">
        <f t="shared" si="315"/>
        <v>-308.8385597</v>
      </c>
      <c r="O220" s="146">
        <f t="shared" si="315"/>
        <v>-385.8394021</v>
      </c>
      <c r="P220" s="146">
        <f t="shared" si="315"/>
        <v>-510.3329844</v>
      </c>
      <c r="Q220" s="146">
        <f t="shared" si="315"/>
        <v>-393.9366182</v>
      </c>
      <c r="R220" s="146">
        <f t="shared" si="315"/>
        <v>-357.1645868</v>
      </c>
      <c r="S220" s="146">
        <f t="shared" si="315"/>
        <v>-503.3910775</v>
      </c>
      <c r="T220" s="146">
        <f t="shared" si="315"/>
        <v>-320.0454764</v>
      </c>
      <c r="U220" s="146">
        <f t="shared" si="315"/>
        <v>-378.3402594</v>
      </c>
      <c r="V220" s="146">
        <f t="shared" si="315"/>
        <v>-571.6058307</v>
      </c>
      <c r="W220" s="146">
        <f t="shared" si="315"/>
        <v>-427.0603385</v>
      </c>
      <c r="X220" s="146">
        <f t="shared" si="315"/>
        <v>-501.312829</v>
      </c>
      <c r="Y220" s="146">
        <f t="shared" si="315"/>
        <v>-614.6495737</v>
      </c>
      <c r="Z220" s="146">
        <f t="shared" si="315"/>
        <v>-383.2258669</v>
      </c>
      <c r="AA220" s="146">
        <f t="shared" si="315"/>
        <v>-470.6340581</v>
      </c>
      <c r="AB220" s="146">
        <f t="shared" si="315"/>
        <v>-681.4107896</v>
      </c>
      <c r="AC220" s="146">
        <f t="shared" si="315"/>
        <v>-409.2886071</v>
      </c>
      <c r="AD220" s="146">
        <f t="shared" si="315"/>
        <v>-497.1493053</v>
      </c>
      <c r="AE220" s="146">
        <f t="shared" si="315"/>
        <v>-644.2729303</v>
      </c>
      <c r="AF220" s="146">
        <f t="shared" si="315"/>
        <v>-361.7980939</v>
      </c>
      <c r="AG220" s="146">
        <f t="shared" si="315"/>
        <v>-478.3021669</v>
      </c>
      <c r="AH220" s="112"/>
      <c r="AI220" s="112"/>
      <c r="AJ220" s="146">
        <f t="shared" ref="AJ220:AN220" si="316">SUM(AJ216:AJ219)</f>
        <v>-4994.3029</v>
      </c>
      <c r="AK220" s="146">
        <f t="shared" si="316"/>
        <v>-6040.71039</v>
      </c>
      <c r="AL220" s="146">
        <f t="shared" si="316"/>
        <v>-6890.751254</v>
      </c>
      <c r="AM220" s="146">
        <f t="shared" si="316"/>
        <v>-7579.320333</v>
      </c>
      <c r="AN220" s="146">
        <f t="shared" si="316"/>
        <v>-366.8124697</v>
      </c>
      <c r="AO220" s="1"/>
      <c r="AP220" s="1"/>
    </row>
    <row r="221" ht="12.75" customHeight="1">
      <c r="A221" s="1"/>
      <c r="B221" s="1"/>
      <c r="C221" s="1"/>
      <c r="D221" s="1"/>
      <c r="E221" s="24"/>
      <c r="F221" s="24"/>
      <c r="G221" s="24"/>
      <c r="H221" s="24"/>
      <c r="I221" s="2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4"/>
      <c r="AI221" s="4"/>
      <c r="AJ221" s="1"/>
      <c r="AK221" s="1"/>
      <c r="AL221" s="1"/>
      <c r="AM221" s="1"/>
      <c r="AN221" s="1"/>
      <c r="AO221" s="1"/>
      <c r="AP221" s="1"/>
    </row>
    <row r="222" ht="12.75" customHeight="1">
      <c r="A222" s="1"/>
      <c r="B222" s="155" t="s">
        <v>142</v>
      </c>
      <c r="C222" s="155"/>
      <c r="D222" s="155"/>
      <c r="E222" s="56">
        <f t="shared" ref="E222:F222" si="317">E54</f>
        <v>0</v>
      </c>
      <c r="F222" s="56">
        <f t="shared" si="317"/>
        <v>0</v>
      </c>
      <c r="G222" s="56">
        <f t="shared" ref="G222:AG222" si="318">G54+G53</f>
        <v>0</v>
      </c>
      <c r="H222" s="56">
        <f t="shared" si="318"/>
        <v>0</v>
      </c>
      <c r="I222" s="56">
        <f t="shared" si="318"/>
        <v>0</v>
      </c>
      <c r="J222" s="57">
        <f t="shared" si="318"/>
        <v>0</v>
      </c>
      <c r="K222" s="57">
        <f t="shared" si="318"/>
        <v>0</v>
      </c>
      <c r="L222" s="57">
        <f t="shared" si="318"/>
        <v>0</v>
      </c>
      <c r="M222" s="57">
        <f t="shared" si="318"/>
        <v>0</v>
      </c>
      <c r="N222" s="57">
        <f t="shared" si="318"/>
        <v>0</v>
      </c>
      <c r="O222" s="57">
        <f t="shared" si="318"/>
        <v>0</v>
      </c>
      <c r="P222" s="57">
        <f t="shared" si="318"/>
        <v>0</v>
      </c>
      <c r="Q222" s="57">
        <f t="shared" si="318"/>
        <v>0</v>
      </c>
      <c r="R222" s="57">
        <f t="shared" si="318"/>
        <v>0</v>
      </c>
      <c r="S222" s="57">
        <f t="shared" si="318"/>
        <v>0</v>
      </c>
      <c r="T222" s="57">
        <f t="shared" si="318"/>
        <v>0</v>
      </c>
      <c r="U222" s="57">
        <f t="shared" si="318"/>
        <v>0</v>
      </c>
      <c r="V222" s="57">
        <f t="shared" si="318"/>
        <v>0</v>
      </c>
      <c r="W222" s="57">
        <f t="shared" si="318"/>
        <v>0</v>
      </c>
      <c r="X222" s="57">
        <f t="shared" si="318"/>
        <v>0</v>
      </c>
      <c r="Y222" s="57">
        <f t="shared" si="318"/>
        <v>0</v>
      </c>
      <c r="Z222" s="57">
        <f t="shared" si="318"/>
        <v>0</v>
      </c>
      <c r="AA222" s="57">
        <f t="shared" si="318"/>
        <v>0</v>
      </c>
      <c r="AB222" s="57">
        <f t="shared" si="318"/>
        <v>0</v>
      </c>
      <c r="AC222" s="57">
        <f t="shared" si="318"/>
        <v>0</v>
      </c>
      <c r="AD222" s="57">
        <f t="shared" si="318"/>
        <v>0</v>
      </c>
      <c r="AE222" s="57">
        <f t="shared" si="318"/>
        <v>0</v>
      </c>
      <c r="AF222" s="57">
        <f t="shared" si="318"/>
        <v>0</v>
      </c>
      <c r="AG222" s="57">
        <f t="shared" si="318"/>
        <v>0</v>
      </c>
      <c r="AH222" s="46"/>
      <c r="AI222" s="46"/>
      <c r="AJ222" s="57">
        <f t="shared" ref="AJ222:AN222" si="319">AJ54+AJ53</f>
        <v>0</v>
      </c>
      <c r="AK222" s="57">
        <f t="shared" si="319"/>
        <v>0</v>
      </c>
      <c r="AL222" s="57">
        <f t="shared" si="319"/>
        <v>0</v>
      </c>
      <c r="AM222" s="57">
        <f t="shared" si="319"/>
        <v>0</v>
      </c>
      <c r="AN222" s="57">
        <f t="shared" si="319"/>
        <v>0</v>
      </c>
      <c r="AO222" s="1"/>
      <c r="AP222" s="1"/>
    </row>
    <row r="223" ht="12.75" customHeight="1">
      <c r="A223" s="1"/>
      <c r="B223" s="156" t="s">
        <v>143</v>
      </c>
      <c r="C223" s="156"/>
      <c r="D223" s="156"/>
      <c r="E223" s="157">
        <f t="shared" ref="E223:AG223" si="320">E214+E220+E222</f>
        <v>2791.666667</v>
      </c>
      <c r="F223" s="157">
        <f t="shared" si="320"/>
        <v>2596.833333</v>
      </c>
      <c r="G223" s="157">
        <f t="shared" si="320"/>
        <v>2391.125</v>
      </c>
      <c r="H223" s="157">
        <f t="shared" si="320"/>
        <v>2173.416667</v>
      </c>
      <c r="I223" s="157">
        <f t="shared" si="320"/>
        <v>1949.708333</v>
      </c>
      <c r="J223" s="158">
        <f t="shared" si="320"/>
        <v>1543.026458</v>
      </c>
      <c r="K223" s="158">
        <f t="shared" si="320"/>
        <v>1077.733742</v>
      </c>
      <c r="L223" s="158">
        <f t="shared" si="320"/>
        <v>548.8429935</v>
      </c>
      <c r="M223" s="158">
        <f t="shared" si="320"/>
        <v>113.2943979</v>
      </c>
      <c r="N223" s="158">
        <f t="shared" si="320"/>
        <v>-195.5441618</v>
      </c>
      <c r="O223" s="158">
        <f t="shared" si="320"/>
        <v>-581.383564</v>
      </c>
      <c r="P223" s="158">
        <f t="shared" si="320"/>
        <v>-1091.716548</v>
      </c>
      <c r="Q223" s="158">
        <f t="shared" si="320"/>
        <v>-1485.653167</v>
      </c>
      <c r="R223" s="158">
        <f t="shared" si="320"/>
        <v>-1842.817753</v>
      </c>
      <c r="S223" s="158">
        <f t="shared" si="320"/>
        <v>-2346.208831</v>
      </c>
      <c r="T223" s="158">
        <f t="shared" si="320"/>
        <v>-2666.254307</v>
      </c>
      <c r="U223" s="158">
        <f t="shared" si="320"/>
        <v>-3044.594567</v>
      </c>
      <c r="V223" s="158">
        <f t="shared" si="320"/>
        <v>-3616.200397</v>
      </c>
      <c r="W223" s="158">
        <f t="shared" si="320"/>
        <v>-4043.260736</v>
      </c>
      <c r="X223" s="158">
        <f t="shared" si="320"/>
        <v>-4544.573565</v>
      </c>
      <c r="Y223" s="158">
        <f t="shared" si="320"/>
        <v>-5159.223139</v>
      </c>
      <c r="Z223" s="158">
        <f t="shared" si="320"/>
        <v>-5542.449006</v>
      </c>
      <c r="AA223" s="158">
        <f t="shared" si="320"/>
        <v>-6013.083064</v>
      </c>
      <c r="AB223" s="158">
        <f t="shared" si="320"/>
        <v>-6694.493853</v>
      </c>
      <c r="AC223" s="158">
        <f t="shared" si="320"/>
        <v>-7103.78246</v>
      </c>
      <c r="AD223" s="158">
        <f t="shared" si="320"/>
        <v>-7600.931766</v>
      </c>
      <c r="AE223" s="158">
        <f t="shared" si="320"/>
        <v>-8245.204696</v>
      </c>
      <c r="AF223" s="158">
        <f t="shared" si="320"/>
        <v>-8607.00279</v>
      </c>
      <c r="AG223" s="158">
        <f t="shared" si="320"/>
        <v>-9085.304957</v>
      </c>
      <c r="AH223" s="112"/>
      <c r="AI223" s="112"/>
      <c r="AJ223" s="158">
        <f t="shared" ref="AJ223:AN223" si="321">AJ214+AJ220+AJ222</f>
        <v>-3044.594567</v>
      </c>
      <c r="AK223" s="158">
        <f t="shared" si="321"/>
        <v>-9085.304957</v>
      </c>
      <c r="AL223" s="159">
        <f t="shared" si="321"/>
        <v>-15976.05621</v>
      </c>
      <c r="AM223" s="158">
        <f t="shared" si="321"/>
        <v>-23555.37654</v>
      </c>
      <c r="AN223" s="158">
        <f t="shared" si="321"/>
        <v>-23922.18901</v>
      </c>
      <c r="AO223" s="1"/>
      <c r="AP223" s="1"/>
    </row>
    <row r="224" ht="12.75" customHeight="1">
      <c r="A224" s="1"/>
      <c r="B224" s="1"/>
      <c r="C224" s="1"/>
      <c r="D224" s="1"/>
      <c r="E224" s="24"/>
      <c r="F224" s="24"/>
      <c r="G224" s="24"/>
      <c r="H224" s="24"/>
      <c r="I224" s="2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4"/>
      <c r="AI224" s="4"/>
      <c r="AJ224" s="1"/>
      <c r="AK224" s="1"/>
      <c r="AL224" s="1"/>
      <c r="AM224" s="1"/>
      <c r="AN224" s="1"/>
      <c r="AO224" s="1"/>
      <c r="AP224" s="1"/>
    </row>
    <row r="225" ht="12.75" customHeight="1">
      <c r="A225" s="1"/>
      <c r="B225" s="11" t="s">
        <v>144</v>
      </c>
      <c r="C225" s="97"/>
      <c r="D225" s="97"/>
      <c r="E225" s="98"/>
      <c r="F225" s="98"/>
      <c r="G225" s="98"/>
      <c r="H225" s="98"/>
      <c r="I225" s="98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  <c r="AF225" s="97"/>
      <c r="AG225" s="97"/>
      <c r="AH225" s="23"/>
      <c r="AI225" s="23"/>
      <c r="AJ225" s="97"/>
      <c r="AK225" s="97"/>
      <c r="AL225" s="97"/>
      <c r="AM225" s="97"/>
      <c r="AN225" s="97"/>
      <c r="AO225" s="1"/>
      <c r="AP225" s="1"/>
    </row>
    <row r="226" ht="12.75" customHeight="1">
      <c r="A226" s="1"/>
      <c r="B226" s="1"/>
      <c r="C226" s="1"/>
      <c r="D226" s="1"/>
      <c r="E226" s="24"/>
      <c r="F226" s="24"/>
      <c r="G226" s="24"/>
      <c r="H226" s="24"/>
      <c r="I226" s="2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4"/>
      <c r="AI226" s="4"/>
      <c r="AJ226" s="1"/>
      <c r="AK226" s="1"/>
      <c r="AL226" s="1"/>
      <c r="AM226" s="1"/>
      <c r="AN226" s="1"/>
      <c r="AO226" s="1"/>
      <c r="AP226" s="1"/>
    </row>
    <row r="227" ht="12.75" customHeight="1">
      <c r="A227" s="1"/>
      <c r="B227" s="86" t="s">
        <v>145</v>
      </c>
      <c r="C227" s="86"/>
      <c r="D227" s="1"/>
      <c r="E227" s="26">
        <v>0.0</v>
      </c>
      <c r="F227" s="26">
        <f t="shared" ref="F227:AG227" si="322">E230</f>
        <v>208.3333333</v>
      </c>
      <c r="G227" s="26">
        <f t="shared" si="322"/>
        <v>403.1666667</v>
      </c>
      <c r="H227" s="26">
        <f t="shared" si="322"/>
        <v>608.875</v>
      </c>
      <c r="I227" s="26">
        <f t="shared" si="322"/>
        <v>826.5833333</v>
      </c>
      <c r="J227" s="27">
        <f t="shared" si="322"/>
        <v>1050.291667</v>
      </c>
      <c r="K227" s="27">
        <f t="shared" si="322"/>
        <v>1441.973542</v>
      </c>
      <c r="L227" s="27">
        <f t="shared" si="322"/>
        <v>1832.266258</v>
      </c>
      <c r="M227" s="27">
        <f t="shared" si="322"/>
        <v>2331.157007</v>
      </c>
      <c r="N227" s="27">
        <f t="shared" si="322"/>
        <v>2695.705602</v>
      </c>
      <c r="O227" s="27">
        <f t="shared" si="322"/>
        <v>3052.294162</v>
      </c>
      <c r="P227" s="27">
        <f t="shared" si="322"/>
        <v>3439.966897</v>
      </c>
      <c r="Q227" s="27">
        <f t="shared" si="322"/>
        <v>3857.133215</v>
      </c>
      <c r="R227" s="27">
        <f t="shared" si="322"/>
        <v>4282.347611</v>
      </c>
      <c r="S227" s="27">
        <f t="shared" si="322"/>
        <v>4672.706642</v>
      </c>
      <c r="T227" s="27">
        <f t="shared" si="322"/>
        <v>5066.792164</v>
      </c>
      <c r="U227" s="27">
        <f t="shared" si="322"/>
        <v>5464.453381</v>
      </c>
      <c r="V227" s="27">
        <f t="shared" si="322"/>
        <v>5860.409381</v>
      </c>
      <c r="W227" s="27">
        <f t="shared" si="322"/>
        <v>6309.630953</v>
      </c>
      <c r="X227" s="27">
        <f t="shared" si="322"/>
        <v>6803.336823</v>
      </c>
      <c r="Y227" s="27">
        <f t="shared" si="322"/>
        <v>7296.295183</v>
      </c>
      <c r="Z227" s="27">
        <f t="shared" si="322"/>
        <v>7767.577607</v>
      </c>
      <c r="AA227" s="27">
        <f t="shared" si="322"/>
        <v>8255.242283</v>
      </c>
      <c r="AB227" s="27">
        <f t="shared" si="322"/>
        <v>8740.315149</v>
      </c>
      <c r="AC227" s="27">
        <f t="shared" si="322"/>
        <v>9239.219598</v>
      </c>
      <c r="AD227" s="27">
        <f t="shared" si="322"/>
        <v>9765.578728</v>
      </c>
      <c r="AE227" s="27">
        <f t="shared" si="322"/>
        <v>10289.79856</v>
      </c>
      <c r="AF227" s="27">
        <f t="shared" si="322"/>
        <v>10790.16552</v>
      </c>
      <c r="AG227" s="27">
        <f t="shared" si="322"/>
        <v>11307.97704</v>
      </c>
      <c r="AH227" s="4"/>
      <c r="AI227" s="4"/>
      <c r="AJ227" s="27">
        <f>J227</f>
        <v>1050.291667</v>
      </c>
      <c r="AK227" s="27">
        <f t="shared" ref="AK227:AN227" si="323">AJ230</f>
        <v>5860.409381</v>
      </c>
      <c r="AL227" s="27">
        <f t="shared" si="323"/>
        <v>11822.29264</v>
      </c>
      <c r="AM227" s="27">
        <f t="shared" si="323"/>
        <v>18676.80381</v>
      </c>
      <c r="AN227" s="27">
        <f t="shared" si="323"/>
        <v>26152.54386</v>
      </c>
      <c r="AO227" s="1"/>
      <c r="AP227" s="1"/>
    </row>
    <row r="228" ht="12.75" customHeight="1">
      <c r="A228" s="1"/>
      <c r="B228" s="86" t="s">
        <v>146</v>
      </c>
      <c r="C228" s="86"/>
      <c r="D228" s="1"/>
      <c r="E228" s="26">
        <f t="shared" ref="E228:AG228" si="324">MIN(E203,0)*-1</f>
        <v>208.3333333</v>
      </c>
      <c r="F228" s="26">
        <f t="shared" si="324"/>
        <v>194.8333333</v>
      </c>
      <c r="G228" s="26">
        <f t="shared" si="324"/>
        <v>205.7083333</v>
      </c>
      <c r="H228" s="26">
        <f t="shared" si="324"/>
        <v>217.7083333</v>
      </c>
      <c r="I228" s="26">
        <f t="shared" si="324"/>
        <v>223.7083333</v>
      </c>
      <c r="J228" s="27">
        <f t="shared" si="324"/>
        <v>391.681875</v>
      </c>
      <c r="K228" s="27">
        <f t="shared" si="324"/>
        <v>390.2927167</v>
      </c>
      <c r="L228" s="27">
        <f t="shared" si="324"/>
        <v>498.8907482</v>
      </c>
      <c r="M228" s="27">
        <f t="shared" si="324"/>
        <v>364.5485956</v>
      </c>
      <c r="N228" s="27">
        <f t="shared" si="324"/>
        <v>356.5885597</v>
      </c>
      <c r="O228" s="27">
        <f t="shared" si="324"/>
        <v>387.6727355</v>
      </c>
      <c r="P228" s="27">
        <f t="shared" si="324"/>
        <v>417.1663177</v>
      </c>
      <c r="Q228" s="27">
        <f t="shared" si="324"/>
        <v>425.2143959</v>
      </c>
      <c r="R228" s="27">
        <f t="shared" si="324"/>
        <v>390.3590313</v>
      </c>
      <c r="S228" s="27">
        <f t="shared" si="324"/>
        <v>394.085522</v>
      </c>
      <c r="T228" s="27">
        <f t="shared" si="324"/>
        <v>397.6612172</v>
      </c>
      <c r="U228" s="27">
        <f t="shared" si="324"/>
        <v>395.9560001</v>
      </c>
      <c r="V228" s="27">
        <f t="shared" si="324"/>
        <v>449.2215715</v>
      </c>
      <c r="W228" s="27">
        <f t="shared" si="324"/>
        <v>493.7058699</v>
      </c>
      <c r="X228" s="27">
        <f t="shared" si="324"/>
        <v>492.9583604</v>
      </c>
      <c r="Y228" s="27">
        <f t="shared" si="324"/>
        <v>471.2824239</v>
      </c>
      <c r="Z228" s="27">
        <f t="shared" si="324"/>
        <v>487.6646753</v>
      </c>
      <c r="AA228" s="27">
        <f t="shared" si="324"/>
        <v>485.0728665</v>
      </c>
      <c r="AB228" s="27">
        <f t="shared" si="324"/>
        <v>498.904449</v>
      </c>
      <c r="AC228" s="27">
        <f t="shared" si="324"/>
        <v>526.3591299</v>
      </c>
      <c r="AD228" s="27">
        <f t="shared" si="324"/>
        <v>524.2198281</v>
      </c>
      <c r="AE228" s="27">
        <f t="shared" si="324"/>
        <v>500.3669607</v>
      </c>
      <c r="AF228" s="27">
        <f t="shared" si="324"/>
        <v>517.8115268</v>
      </c>
      <c r="AG228" s="27">
        <f t="shared" si="324"/>
        <v>514.3155998</v>
      </c>
      <c r="AH228" s="4"/>
      <c r="AI228" s="4"/>
      <c r="AJ228" s="27">
        <f t="shared" ref="AJ228:AJ229" si="327">SUM(J228:U228)</f>
        <v>4810.117715</v>
      </c>
      <c r="AK228" s="27">
        <f t="shared" ref="AK228:AK229" si="328">SUM(V228:AG228)</f>
        <v>5961.883262</v>
      </c>
      <c r="AL228" s="27">
        <f t="shared" ref="AL228:AN228" si="325">MIN(AL203,0)*-1</f>
        <v>6854.511163</v>
      </c>
      <c r="AM228" s="27">
        <f t="shared" si="325"/>
        <v>7475.740058</v>
      </c>
      <c r="AN228" s="27">
        <f t="shared" si="325"/>
        <v>208.56129</v>
      </c>
      <c r="AO228" s="1"/>
      <c r="AP228" s="1"/>
    </row>
    <row r="229" ht="12.75" customHeight="1">
      <c r="A229" s="1"/>
      <c r="B229" s="86" t="s">
        <v>147</v>
      </c>
      <c r="C229" s="86"/>
      <c r="D229" s="1"/>
      <c r="E229" s="26">
        <f t="shared" ref="E229:AG229" si="326">MIN(E227,MAX(E203,0)*80%)</f>
        <v>0</v>
      </c>
      <c r="F229" s="26">
        <f t="shared" si="326"/>
        <v>0</v>
      </c>
      <c r="G229" s="26">
        <f t="shared" si="326"/>
        <v>0</v>
      </c>
      <c r="H229" s="26">
        <f t="shared" si="326"/>
        <v>0</v>
      </c>
      <c r="I229" s="26">
        <f t="shared" si="326"/>
        <v>0</v>
      </c>
      <c r="J229" s="27">
        <f t="shared" si="326"/>
        <v>0</v>
      </c>
      <c r="K229" s="27">
        <f t="shared" si="326"/>
        <v>0</v>
      </c>
      <c r="L229" s="27">
        <f t="shared" si="326"/>
        <v>0</v>
      </c>
      <c r="M229" s="27">
        <f t="shared" si="326"/>
        <v>0</v>
      </c>
      <c r="N229" s="27">
        <f t="shared" si="326"/>
        <v>0</v>
      </c>
      <c r="O229" s="27">
        <f t="shared" si="326"/>
        <v>0</v>
      </c>
      <c r="P229" s="27">
        <f t="shared" si="326"/>
        <v>0</v>
      </c>
      <c r="Q229" s="27">
        <f t="shared" si="326"/>
        <v>0</v>
      </c>
      <c r="R229" s="27">
        <f t="shared" si="326"/>
        <v>0</v>
      </c>
      <c r="S229" s="27">
        <f t="shared" si="326"/>
        <v>0</v>
      </c>
      <c r="T229" s="27">
        <f t="shared" si="326"/>
        <v>0</v>
      </c>
      <c r="U229" s="27">
        <f t="shared" si="326"/>
        <v>0</v>
      </c>
      <c r="V229" s="27">
        <f t="shared" si="326"/>
        <v>0</v>
      </c>
      <c r="W229" s="27">
        <f t="shared" si="326"/>
        <v>0</v>
      </c>
      <c r="X229" s="27">
        <f t="shared" si="326"/>
        <v>0</v>
      </c>
      <c r="Y229" s="27">
        <f t="shared" si="326"/>
        <v>0</v>
      </c>
      <c r="Z229" s="27">
        <f t="shared" si="326"/>
        <v>0</v>
      </c>
      <c r="AA229" s="27">
        <f t="shared" si="326"/>
        <v>0</v>
      </c>
      <c r="AB229" s="27">
        <f t="shared" si="326"/>
        <v>0</v>
      </c>
      <c r="AC229" s="27">
        <f t="shared" si="326"/>
        <v>0</v>
      </c>
      <c r="AD229" s="27">
        <f t="shared" si="326"/>
        <v>0</v>
      </c>
      <c r="AE229" s="27">
        <f t="shared" si="326"/>
        <v>0</v>
      </c>
      <c r="AF229" s="27">
        <f t="shared" si="326"/>
        <v>0</v>
      </c>
      <c r="AG229" s="27">
        <f t="shared" si="326"/>
        <v>0</v>
      </c>
      <c r="AH229" s="4"/>
      <c r="AI229" s="4"/>
      <c r="AJ229" s="27">
        <f t="shared" si="327"/>
        <v>0</v>
      </c>
      <c r="AK229" s="27">
        <f t="shared" si="328"/>
        <v>0</v>
      </c>
      <c r="AL229" s="27">
        <f t="shared" ref="AL229:AN229" si="329">MIN(AL227,MAX(AL203,0)*80%)</f>
        <v>0</v>
      </c>
      <c r="AM229" s="27">
        <f t="shared" si="329"/>
        <v>0</v>
      </c>
      <c r="AN229" s="27">
        <f t="shared" si="329"/>
        <v>0</v>
      </c>
      <c r="AO229" s="160"/>
      <c r="AP229" s="1"/>
    </row>
    <row r="230" ht="12.75" customHeight="1">
      <c r="A230" s="1"/>
      <c r="B230" s="161" t="s">
        <v>148</v>
      </c>
      <c r="C230" s="161"/>
      <c r="D230" s="28"/>
      <c r="E230" s="37">
        <f t="shared" ref="E230:AG230" si="330">E227+E228-E229</f>
        <v>208.3333333</v>
      </c>
      <c r="F230" s="37">
        <f t="shared" si="330"/>
        <v>403.1666667</v>
      </c>
      <c r="G230" s="37">
        <f t="shared" si="330"/>
        <v>608.875</v>
      </c>
      <c r="H230" s="37">
        <f t="shared" si="330"/>
        <v>826.5833333</v>
      </c>
      <c r="I230" s="37">
        <f t="shared" si="330"/>
        <v>1050.291667</v>
      </c>
      <c r="J230" s="38">
        <f t="shared" si="330"/>
        <v>1441.973542</v>
      </c>
      <c r="K230" s="38">
        <f t="shared" si="330"/>
        <v>1832.266258</v>
      </c>
      <c r="L230" s="38">
        <f t="shared" si="330"/>
        <v>2331.157007</v>
      </c>
      <c r="M230" s="38">
        <f t="shared" si="330"/>
        <v>2695.705602</v>
      </c>
      <c r="N230" s="38">
        <f t="shared" si="330"/>
        <v>3052.294162</v>
      </c>
      <c r="O230" s="38">
        <f t="shared" si="330"/>
        <v>3439.966897</v>
      </c>
      <c r="P230" s="38">
        <f t="shared" si="330"/>
        <v>3857.133215</v>
      </c>
      <c r="Q230" s="38">
        <f t="shared" si="330"/>
        <v>4282.347611</v>
      </c>
      <c r="R230" s="38">
        <f t="shared" si="330"/>
        <v>4672.706642</v>
      </c>
      <c r="S230" s="38">
        <f t="shared" si="330"/>
        <v>5066.792164</v>
      </c>
      <c r="T230" s="38">
        <f t="shared" si="330"/>
        <v>5464.453381</v>
      </c>
      <c r="U230" s="38">
        <f t="shared" si="330"/>
        <v>5860.409381</v>
      </c>
      <c r="V230" s="38">
        <f t="shared" si="330"/>
        <v>6309.630953</v>
      </c>
      <c r="W230" s="38">
        <f t="shared" si="330"/>
        <v>6803.336823</v>
      </c>
      <c r="X230" s="38">
        <f t="shared" si="330"/>
        <v>7296.295183</v>
      </c>
      <c r="Y230" s="38">
        <f t="shared" si="330"/>
        <v>7767.577607</v>
      </c>
      <c r="Z230" s="38">
        <f t="shared" si="330"/>
        <v>8255.242283</v>
      </c>
      <c r="AA230" s="38">
        <f t="shared" si="330"/>
        <v>8740.315149</v>
      </c>
      <c r="AB230" s="38">
        <f t="shared" si="330"/>
        <v>9239.219598</v>
      </c>
      <c r="AC230" s="38">
        <f t="shared" si="330"/>
        <v>9765.578728</v>
      </c>
      <c r="AD230" s="38">
        <f t="shared" si="330"/>
        <v>10289.79856</v>
      </c>
      <c r="AE230" s="38">
        <f t="shared" si="330"/>
        <v>10790.16552</v>
      </c>
      <c r="AF230" s="38">
        <f t="shared" si="330"/>
        <v>11307.97704</v>
      </c>
      <c r="AG230" s="38">
        <f t="shared" si="330"/>
        <v>11822.29264</v>
      </c>
      <c r="AH230" s="4"/>
      <c r="AI230" s="4"/>
      <c r="AJ230" s="38">
        <f t="shared" ref="AJ230:AN230" si="331">AJ227+AJ228-AJ229</f>
        <v>5860.409381</v>
      </c>
      <c r="AK230" s="38">
        <f t="shared" si="331"/>
        <v>11822.29264</v>
      </c>
      <c r="AL230" s="38">
        <f t="shared" si="331"/>
        <v>18676.80381</v>
      </c>
      <c r="AM230" s="38">
        <f t="shared" si="331"/>
        <v>26152.54386</v>
      </c>
      <c r="AN230" s="38">
        <f t="shared" si="331"/>
        <v>26361.10515</v>
      </c>
      <c r="AO230" s="1"/>
      <c r="AP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4"/>
      <c r="AI231" s="4"/>
      <c r="AJ231" s="1"/>
      <c r="AK231" s="1"/>
      <c r="AL231" s="1"/>
      <c r="AM231" s="1"/>
      <c r="AN231" s="1"/>
      <c r="AO231" s="1"/>
      <c r="AP231" s="1"/>
    </row>
    <row r="232" ht="12.75" customHeight="1">
      <c r="A232" s="1"/>
      <c r="B232" s="2" t="s">
        <v>149</v>
      </c>
      <c r="C232" s="95"/>
      <c r="D232" s="1"/>
      <c r="E232" s="1"/>
      <c r="F232" s="162"/>
      <c r="G232" s="162"/>
      <c r="H232" s="162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4"/>
      <c r="AI232" s="4"/>
      <c r="AJ232" s="1"/>
      <c r="AK232" s="1"/>
      <c r="AL232" s="49"/>
      <c r="AM232" s="1"/>
      <c r="AN232" s="1"/>
      <c r="AO232" s="1"/>
      <c r="AP232" s="1"/>
    </row>
    <row r="233" ht="12.75" customHeight="1">
      <c r="A233" s="1"/>
      <c r="B233" s="1"/>
      <c r="C233" s="1"/>
      <c r="D233" s="1"/>
      <c r="E233" s="1"/>
      <c r="F233" s="4"/>
      <c r="G233" s="4"/>
      <c r="H233" s="4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4"/>
      <c r="AI233" s="4"/>
      <c r="AJ233" s="1"/>
      <c r="AK233" s="1"/>
      <c r="AL233" s="1"/>
      <c r="AM233" s="1"/>
      <c r="AN233" s="1"/>
      <c r="AO233" s="1"/>
      <c r="AP233" s="1"/>
    </row>
    <row r="234" ht="12.75" customHeight="1">
      <c r="A234" s="1"/>
      <c r="B234" s="13" t="s">
        <v>150</v>
      </c>
      <c r="C234" s="13" t="s">
        <v>151</v>
      </c>
      <c r="D234" s="1"/>
      <c r="E234" s="1"/>
      <c r="F234" s="4"/>
      <c r="G234" s="4"/>
      <c r="H234" s="82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4"/>
      <c r="AI234" s="4"/>
      <c r="AJ234" s="1"/>
      <c r="AK234" s="1"/>
      <c r="AL234" s="1"/>
      <c r="AM234" s="1"/>
      <c r="AN234" s="1"/>
      <c r="AO234" s="1"/>
      <c r="AP234" s="1"/>
    </row>
    <row r="235" ht="12.75" customHeight="1">
      <c r="A235" s="1"/>
      <c r="B235" s="26">
        <v>0.0</v>
      </c>
      <c r="C235" s="89">
        <v>200.0</v>
      </c>
      <c r="D235" s="1"/>
      <c r="E235" s="1"/>
      <c r="F235" s="4"/>
      <c r="G235" s="4"/>
      <c r="H235" s="4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4"/>
      <c r="AI235" s="4"/>
      <c r="AJ235" s="1"/>
      <c r="AK235" s="1"/>
      <c r="AL235" s="1"/>
      <c r="AM235" s="1"/>
      <c r="AN235" s="1"/>
      <c r="AO235" s="1"/>
      <c r="AP235" s="1"/>
    </row>
    <row r="236" ht="12.75" customHeight="1">
      <c r="A236" s="1"/>
      <c r="B236" s="26">
        <v>500.0</v>
      </c>
      <c r="C236" s="89">
        <v>150.0</v>
      </c>
      <c r="D236" s="1"/>
      <c r="E236" s="1"/>
      <c r="F236" s="4"/>
      <c r="G236" s="4"/>
      <c r="H236" s="4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4"/>
      <c r="AI236" s="4"/>
      <c r="AJ236" s="1"/>
      <c r="AK236" s="1"/>
      <c r="AL236" s="1"/>
      <c r="AM236" s="1"/>
      <c r="AN236" s="1"/>
      <c r="AO236" s="1"/>
      <c r="AP236" s="1"/>
    </row>
    <row r="237" ht="12.75" customHeight="1">
      <c r="A237" s="1"/>
      <c r="B237" s="26">
        <v>1000.0</v>
      </c>
      <c r="C237" s="89">
        <v>125.0</v>
      </c>
      <c r="D237" s="1"/>
      <c r="E237" s="1"/>
      <c r="F237" s="4"/>
      <c r="G237" s="4"/>
      <c r="H237" s="4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4"/>
      <c r="AI237" s="4"/>
      <c r="AJ237" s="1"/>
      <c r="AK237" s="1"/>
      <c r="AL237" s="1"/>
      <c r="AM237" s="1"/>
      <c r="AN237" s="1"/>
      <c r="AO237" s="1"/>
      <c r="AP237" s="1"/>
    </row>
    <row r="238" ht="12.75" customHeight="1">
      <c r="A238" s="1"/>
      <c r="B238" s="26">
        <v>2000.0</v>
      </c>
      <c r="C238" s="89">
        <v>100.0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4"/>
      <c r="AI238" s="4"/>
      <c r="AJ238" s="1"/>
      <c r="AK238" s="1"/>
      <c r="AL238" s="1"/>
      <c r="AM238" s="1"/>
      <c r="AN238" s="1"/>
      <c r="AO238" s="1"/>
      <c r="AP238" s="1"/>
    </row>
    <row r="239" ht="12.75" customHeight="1">
      <c r="A239" s="1"/>
      <c r="B239" s="56">
        <v>5000.0</v>
      </c>
      <c r="C239" s="163">
        <v>75.0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4"/>
      <c r="AI239" s="4"/>
      <c r="AJ239" s="1"/>
      <c r="AK239" s="1"/>
      <c r="AL239" s="1"/>
      <c r="AM239" s="1"/>
      <c r="AN239" s="1"/>
      <c r="AO239" s="1"/>
      <c r="AP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4"/>
      <c r="AI240" s="4"/>
      <c r="AJ240" s="1"/>
      <c r="AK240" s="1"/>
      <c r="AL240" s="1"/>
      <c r="AM240" s="1"/>
      <c r="AN240" s="1"/>
      <c r="AO240" s="1"/>
      <c r="AP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4"/>
      <c r="AI241" s="4"/>
      <c r="AJ241" s="1"/>
      <c r="AK241" s="1"/>
      <c r="AL241" s="1"/>
      <c r="AM241" s="1"/>
      <c r="AN241" s="1"/>
      <c r="AO241" s="1"/>
      <c r="AP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4"/>
      <c r="AI242" s="4"/>
      <c r="AJ242" s="1"/>
      <c r="AK242" s="1"/>
      <c r="AL242" s="1"/>
      <c r="AM242" s="1"/>
      <c r="AN242" s="1"/>
      <c r="AO242" s="1"/>
      <c r="AP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4"/>
      <c r="AI243" s="4"/>
      <c r="AJ243" s="1"/>
      <c r="AK243" s="1"/>
      <c r="AL243" s="1"/>
      <c r="AM243" s="1"/>
      <c r="AN243" s="1"/>
      <c r="AO243" s="1"/>
      <c r="AP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4"/>
      <c r="AI244" s="4"/>
      <c r="AJ244" s="1"/>
      <c r="AK244" s="1"/>
      <c r="AL244" s="1"/>
      <c r="AM244" s="1"/>
      <c r="AN244" s="1"/>
      <c r="AO244" s="1"/>
      <c r="AP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4"/>
      <c r="AI245" s="4"/>
      <c r="AJ245" s="1"/>
      <c r="AK245" s="1"/>
      <c r="AL245" s="1"/>
      <c r="AM245" s="1"/>
      <c r="AN245" s="1"/>
      <c r="AO245" s="1"/>
      <c r="AP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4"/>
      <c r="AI246" s="4"/>
      <c r="AJ246" s="1"/>
      <c r="AK246" s="1"/>
      <c r="AL246" s="1"/>
      <c r="AM246" s="1"/>
      <c r="AN246" s="1"/>
      <c r="AO246" s="1"/>
      <c r="AP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4"/>
      <c r="AI247" s="4"/>
      <c r="AJ247" s="1"/>
      <c r="AK247" s="1"/>
      <c r="AL247" s="1"/>
      <c r="AM247" s="1"/>
      <c r="AN247" s="1"/>
      <c r="AO247" s="1"/>
      <c r="AP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4"/>
      <c r="AI248" s="4"/>
      <c r="AJ248" s="1"/>
      <c r="AK248" s="1"/>
      <c r="AL248" s="1"/>
      <c r="AM248" s="1"/>
      <c r="AN248" s="1"/>
      <c r="AO248" s="1"/>
      <c r="AP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4"/>
      <c r="AI249" s="4"/>
      <c r="AJ249" s="1"/>
      <c r="AK249" s="1"/>
      <c r="AL249" s="1"/>
      <c r="AM249" s="1"/>
      <c r="AN249" s="1"/>
      <c r="AO249" s="1"/>
      <c r="AP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4"/>
      <c r="AI250" s="4"/>
      <c r="AJ250" s="1"/>
      <c r="AK250" s="1"/>
      <c r="AL250" s="1"/>
      <c r="AM250" s="1"/>
      <c r="AN250" s="1"/>
      <c r="AO250" s="1"/>
      <c r="AP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4"/>
      <c r="AI251" s="4"/>
      <c r="AJ251" s="1"/>
      <c r="AK251" s="1"/>
      <c r="AL251" s="1"/>
      <c r="AM251" s="1"/>
      <c r="AN251" s="1"/>
      <c r="AO251" s="1"/>
      <c r="AP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4"/>
      <c r="AI252" s="4"/>
      <c r="AJ252" s="1"/>
      <c r="AK252" s="1"/>
      <c r="AL252" s="1"/>
      <c r="AM252" s="1"/>
      <c r="AN252" s="1"/>
      <c r="AO252" s="1"/>
      <c r="AP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4"/>
      <c r="AI253" s="4"/>
      <c r="AJ253" s="1"/>
      <c r="AK253" s="1"/>
      <c r="AL253" s="1"/>
      <c r="AM253" s="1"/>
      <c r="AN253" s="1"/>
      <c r="AO253" s="1"/>
      <c r="AP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4"/>
      <c r="AI254" s="4"/>
      <c r="AJ254" s="1"/>
      <c r="AK254" s="1"/>
      <c r="AL254" s="1"/>
      <c r="AM254" s="1"/>
      <c r="AN254" s="1"/>
      <c r="AO254" s="1"/>
      <c r="AP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4"/>
      <c r="AI255" s="4"/>
      <c r="AJ255" s="1"/>
      <c r="AK255" s="1"/>
      <c r="AL255" s="1"/>
      <c r="AM255" s="1"/>
      <c r="AN255" s="1"/>
      <c r="AO255" s="1"/>
      <c r="AP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4"/>
      <c r="AI256" s="4"/>
      <c r="AJ256" s="1"/>
      <c r="AK256" s="1"/>
      <c r="AL256" s="1"/>
      <c r="AM256" s="1"/>
      <c r="AN256" s="1"/>
      <c r="AO256" s="1"/>
      <c r="AP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4"/>
      <c r="AI257" s="4"/>
      <c r="AJ257" s="1"/>
      <c r="AK257" s="1"/>
      <c r="AL257" s="1"/>
      <c r="AM257" s="1"/>
      <c r="AN257" s="1"/>
      <c r="AO257" s="1"/>
      <c r="AP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4"/>
      <c r="AI258" s="4"/>
      <c r="AJ258" s="1"/>
      <c r="AK258" s="1"/>
      <c r="AL258" s="1"/>
      <c r="AM258" s="1"/>
      <c r="AN258" s="1"/>
      <c r="AO258" s="1"/>
      <c r="AP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4"/>
      <c r="AI259" s="4"/>
      <c r="AJ259" s="1"/>
      <c r="AK259" s="1"/>
      <c r="AL259" s="1"/>
      <c r="AM259" s="1"/>
      <c r="AN259" s="1"/>
      <c r="AO259" s="1"/>
      <c r="AP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4"/>
      <c r="AI260" s="4"/>
      <c r="AJ260" s="1"/>
      <c r="AK260" s="1"/>
      <c r="AL260" s="1"/>
      <c r="AM260" s="1"/>
      <c r="AN260" s="1"/>
      <c r="AO260" s="1"/>
      <c r="AP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4"/>
      <c r="AI261" s="4"/>
      <c r="AJ261" s="1"/>
      <c r="AK261" s="1"/>
      <c r="AL261" s="1"/>
      <c r="AM261" s="1"/>
      <c r="AN261" s="1"/>
      <c r="AO261" s="1"/>
      <c r="AP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4"/>
      <c r="AI262" s="4"/>
      <c r="AJ262" s="1"/>
      <c r="AK262" s="1"/>
      <c r="AL262" s="1"/>
      <c r="AM262" s="1"/>
      <c r="AN262" s="1"/>
      <c r="AO262" s="1"/>
      <c r="AP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4"/>
      <c r="AI263" s="4"/>
      <c r="AJ263" s="1"/>
      <c r="AK263" s="1"/>
      <c r="AL263" s="1"/>
      <c r="AM263" s="1"/>
      <c r="AN263" s="1"/>
      <c r="AO263" s="1"/>
      <c r="AP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4"/>
      <c r="AI264" s="4"/>
      <c r="AJ264" s="1"/>
      <c r="AK264" s="1"/>
      <c r="AL264" s="1"/>
      <c r="AM264" s="1"/>
      <c r="AN264" s="1"/>
      <c r="AO264" s="1"/>
      <c r="AP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4"/>
      <c r="AI265" s="4"/>
      <c r="AJ265" s="1"/>
      <c r="AK265" s="1"/>
      <c r="AL265" s="1"/>
      <c r="AM265" s="1"/>
      <c r="AN265" s="1"/>
      <c r="AO265" s="1"/>
      <c r="AP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4"/>
      <c r="AI266" s="4"/>
      <c r="AJ266" s="1"/>
      <c r="AK266" s="1"/>
      <c r="AL266" s="1"/>
      <c r="AM266" s="1"/>
      <c r="AN266" s="1"/>
      <c r="AO266" s="1"/>
      <c r="AP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4"/>
      <c r="AI267" s="4"/>
      <c r="AJ267" s="1"/>
      <c r="AK267" s="1"/>
      <c r="AL267" s="1"/>
      <c r="AM267" s="1"/>
      <c r="AN267" s="1"/>
      <c r="AO267" s="1"/>
      <c r="AP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4"/>
      <c r="AI268" s="4"/>
      <c r="AJ268" s="1"/>
      <c r="AK268" s="1"/>
      <c r="AL268" s="1"/>
      <c r="AM268" s="1"/>
      <c r="AN268" s="1"/>
      <c r="AO268" s="1"/>
      <c r="AP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4"/>
      <c r="AI269" s="4"/>
      <c r="AJ269" s="1"/>
      <c r="AK269" s="1"/>
      <c r="AL269" s="1"/>
      <c r="AM269" s="1"/>
      <c r="AN269" s="1"/>
      <c r="AO269" s="1"/>
      <c r="AP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4"/>
      <c r="AI270" s="4"/>
      <c r="AJ270" s="1"/>
      <c r="AK270" s="1"/>
      <c r="AL270" s="1"/>
      <c r="AM270" s="1"/>
      <c r="AN270" s="1"/>
      <c r="AO270" s="1"/>
      <c r="AP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4"/>
      <c r="AI271" s="4"/>
      <c r="AJ271" s="1"/>
      <c r="AK271" s="1"/>
      <c r="AL271" s="1"/>
      <c r="AM271" s="1"/>
      <c r="AN271" s="1"/>
      <c r="AO271" s="1"/>
      <c r="AP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4"/>
      <c r="AI272" s="4"/>
      <c r="AJ272" s="1"/>
      <c r="AK272" s="1"/>
      <c r="AL272" s="1"/>
      <c r="AM272" s="1"/>
      <c r="AN272" s="1"/>
      <c r="AO272" s="1"/>
      <c r="AP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4"/>
      <c r="AI273" s="4"/>
      <c r="AJ273" s="1"/>
      <c r="AK273" s="1"/>
      <c r="AL273" s="1"/>
      <c r="AM273" s="1"/>
      <c r="AN273" s="1"/>
      <c r="AO273" s="1"/>
      <c r="AP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4"/>
      <c r="AI274" s="4"/>
      <c r="AJ274" s="1"/>
      <c r="AK274" s="1"/>
      <c r="AL274" s="1"/>
      <c r="AM274" s="1"/>
      <c r="AN274" s="1"/>
      <c r="AO274" s="1"/>
      <c r="AP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4"/>
      <c r="AI275" s="4"/>
      <c r="AJ275" s="1"/>
      <c r="AK275" s="1"/>
      <c r="AL275" s="1"/>
      <c r="AM275" s="1"/>
      <c r="AN275" s="1"/>
      <c r="AO275" s="1"/>
      <c r="AP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4"/>
      <c r="AI276" s="4"/>
      <c r="AJ276" s="1"/>
      <c r="AK276" s="1"/>
      <c r="AL276" s="1"/>
      <c r="AM276" s="1"/>
      <c r="AN276" s="1"/>
      <c r="AO276" s="1"/>
      <c r="AP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4"/>
      <c r="AI277" s="4"/>
      <c r="AJ277" s="1"/>
      <c r="AK277" s="1"/>
      <c r="AL277" s="1"/>
      <c r="AM277" s="1"/>
      <c r="AN277" s="1"/>
      <c r="AO277" s="1"/>
      <c r="AP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4"/>
      <c r="AI278" s="4"/>
      <c r="AJ278" s="1"/>
      <c r="AK278" s="1"/>
      <c r="AL278" s="1"/>
      <c r="AM278" s="1"/>
      <c r="AN278" s="1"/>
      <c r="AO278" s="1"/>
      <c r="AP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4"/>
      <c r="AI279" s="4"/>
      <c r="AJ279" s="1"/>
      <c r="AK279" s="1"/>
      <c r="AL279" s="1"/>
      <c r="AM279" s="1"/>
      <c r="AN279" s="1"/>
      <c r="AO279" s="1"/>
      <c r="AP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4"/>
      <c r="AI280" s="4"/>
      <c r="AJ280" s="1"/>
      <c r="AK280" s="1"/>
      <c r="AL280" s="1"/>
      <c r="AM280" s="1"/>
      <c r="AN280" s="1"/>
      <c r="AO280" s="1"/>
      <c r="AP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4"/>
      <c r="AI281" s="4"/>
      <c r="AJ281" s="1"/>
      <c r="AK281" s="1"/>
      <c r="AL281" s="1"/>
      <c r="AM281" s="1"/>
      <c r="AN281" s="1"/>
      <c r="AO281" s="1"/>
      <c r="AP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4"/>
      <c r="AI282" s="4"/>
      <c r="AJ282" s="1"/>
      <c r="AK282" s="1"/>
      <c r="AL282" s="1"/>
      <c r="AM282" s="1"/>
      <c r="AN282" s="1"/>
      <c r="AO282" s="1"/>
      <c r="AP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4"/>
      <c r="AI283" s="4"/>
      <c r="AJ283" s="1"/>
      <c r="AK283" s="1"/>
      <c r="AL283" s="1"/>
      <c r="AM283" s="1"/>
      <c r="AN283" s="1"/>
      <c r="AO283" s="1"/>
      <c r="AP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4"/>
      <c r="AI284" s="4"/>
      <c r="AJ284" s="1"/>
      <c r="AK284" s="1"/>
      <c r="AL284" s="1"/>
      <c r="AM284" s="1"/>
      <c r="AN284" s="1"/>
      <c r="AO284" s="1"/>
      <c r="AP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4"/>
      <c r="AI285" s="4"/>
      <c r="AJ285" s="1"/>
      <c r="AK285" s="1"/>
      <c r="AL285" s="1"/>
      <c r="AM285" s="1"/>
      <c r="AN285" s="1"/>
      <c r="AO285" s="1"/>
      <c r="AP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4"/>
      <c r="AI286" s="4"/>
      <c r="AJ286" s="1"/>
      <c r="AK286" s="1"/>
      <c r="AL286" s="1"/>
      <c r="AM286" s="1"/>
      <c r="AN286" s="1"/>
      <c r="AO286" s="1"/>
      <c r="AP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4"/>
      <c r="AI287" s="4"/>
      <c r="AJ287" s="1"/>
      <c r="AK287" s="1"/>
      <c r="AL287" s="1"/>
      <c r="AM287" s="1"/>
      <c r="AN287" s="1"/>
      <c r="AO287" s="1"/>
      <c r="AP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4"/>
      <c r="AI288" s="4"/>
      <c r="AJ288" s="1"/>
      <c r="AK288" s="1"/>
      <c r="AL288" s="1"/>
      <c r="AM288" s="1"/>
      <c r="AN288" s="1"/>
      <c r="AO288" s="1"/>
      <c r="AP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4"/>
      <c r="AI289" s="4"/>
      <c r="AJ289" s="1"/>
      <c r="AK289" s="1"/>
      <c r="AL289" s="1"/>
      <c r="AM289" s="1"/>
      <c r="AN289" s="1"/>
      <c r="AO289" s="1"/>
      <c r="AP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4"/>
      <c r="AI290" s="4"/>
      <c r="AJ290" s="1"/>
      <c r="AK290" s="1"/>
      <c r="AL290" s="1"/>
      <c r="AM290" s="1"/>
      <c r="AN290" s="1"/>
      <c r="AO290" s="1"/>
      <c r="AP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4"/>
      <c r="AI291" s="4"/>
      <c r="AJ291" s="1"/>
      <c r="AK291" s="1"/>
      <c r="AL291" s="1"/>
      <c r="AM291" s="1"/>
      <c r="AN291" s="1"/>
      <c r="AO291" s="1"/>
      <c r="AP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4"/>
      <c r="AI292" s="4"/>
      <c r="AJ292" s="1"/>
      <c r="AK292" s="1"/>
      <c r="AL292" s="1"/>
      <c r="AM292" s="1"/>
      <c r="AN292" s="1"/>
      <c r="AO292" s="1"/>
      <c r="AP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4"/>
      <c r="AI293" s="4"/>
      <c r="AJ293" s="1"/>
      <c r="AK293" s="1"/>
      <c r="AL293" s="1"/>
      <c r="AM293" s="1"/>
      <c r="AN293" s="1"/>
      <c r="AO293" s="1"/>
      <c r="AP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4"/>
      <c r="AI294" s="4"/>
      <c r="AJ294" s="1"/>
      <c r="AK294" s="1"/>
      <c r="AL294" s="1"/>
      <c r="AM294" s="1"/>
      <c r="AN294" s="1"/>
      <c r="AO294" s="1"/>
      <c r="AP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4"/>
      <c r="AI295" s="4"/>
      <c r="AJ295" s="1"/>
      <c r="AK295" s="1"/>
      <c r="AL295" s="1"/>
      <c r="AM295" s="1"/>
      <c r="AN295" s="1"/>
      <c r="AO295" s="1"/>
      <c r="AP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4"/>
      <c r="AI296" s="4"/>
      <c r="AJ296" s="1"/>
      <c r="AK296" s="1"/>
      <c r="AL296" s="1"/>
      <c r="AM296" s="1"/>
      <c r="AN296" s="1"/>
      <c r="AO296" s="1"/>
      <c r="AP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4"/>
      <c r="AI297" s="4"/>
      <c r="AJ297" s="1"/>
      <c r="AK297" s="1"/>
      <c r="AL297" s="1"/>
      <c r="AM297" s="1"/>
      <c r="AN297" s="1"/>
      <c r="AO297" s="1"/>
      <c r="AP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4"/>
      <c r="AI298" s="4"/>
      <c r="AJ298" s="1"/>
      <c r="AK298" s="1"/>
      <c r="AL298" s="1"/>
      <c r="AM298" s="1"/>
      <c r="AN298" s="1"/>
      <c r="AO298" s="1"/>
      <c r="AP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4"/>
      <c r="AI299" s="4"/>
      <c r="AJ299" s="1"/>
      <c r="AK299" s="1"/>
      <c r="AL299" s="1"/>
      <c r="AM299" s="1"/>
      <c r="AN299" s="1"/>
      <c r="AO299" s="1"/>
      <c r="AP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4"/>
      <c r="AI300" s="4"/>
      <c r="AJ300" s="1"/>
      <c r="AK300" s="1"/>
      <c r="AL300" s="1"/>
      <c r="AM300" s="1"/>
      <c r="AN300" s="1"/>
      <c r="AO300" s="1"/>
      <c r="AP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4"/>
      <c r="AI301" s="4"/>
      <c r="AJ301" s="1"/>
      <c r="AK301" s="1"/>
      <c r="AL301" s="1"/>
      <c r="AM301" s="1"/>
      <c r="AN301" s="1"/>
      <c r="AO301" s="1"/>
      <c r="AP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4"/>
      <c r="AI302" s="4"/>
      <c r="AJ302" s="1"/>
      <c r="AK302" s="1"/>
      <c r="AL302" s="1"/>
      <c r="AM302" s="1"/>
      <c r="AN302" s="1"/>
      <c r="AO302" s="1"/>
      <c r="AP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4"/>
      <c r="AI303" s="4"/>
      <c r="AJ303" s="1"/>
      <c r="AK303" s="1"/>
      <c r="AL303" s="1"/>
      <c r="AM303" s="1"/>
      <c r="AN303" s="1"/>
      <c r="AO303" s="1"/>
      <c r="AP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4"/>
      <c r="AI304" s="4"/>
      <c r="AJ304" s="1"/>
      <c r="AK304" s="1"/>
      <c r="AL304" s="1"/>
      <c r="AM304" s="1"/>
      <c r="AN304" s="1"/>
      <c r="AO304" s="1"/>
      <c r="AP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4"/>
      <c r="AI305" s="4"/>
      <c r="AJ305" s="1"/>
      <c r="AK305" s="1"/>
      <c r="AL305" s="1"/>
      <c r="AM305" s="1"/>
      <c r="AN305" s="1"/>
      <c r="AO305" s="1"/>
      <c r="AP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4"/>
      <c r="AI306" s="4"/>
      <c r="AJ306" s="1"/>
      <c r="AK306" s="1"/>
      <c r="AL306" s="1"/>
      <c r="AM306" s="1"/>
      <c r="AN306" s="1"/>
      <c r="AO306" s="1"/>
      <c r="AP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4"/>
      <c r="AI307" s="4"/>
      <c r="AJ307" s="1"/>
      <c r="AK307" s="1"/>
      <c r="AL307" s="1"/>
      <c r="AM307" s="1"/>
      <c r="AN307" s="1"/>
      <c r="AO307" s="1"/>
      <c r="AP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4"/>
      <c r="AI308" s="4"/>
      <c r="AJ308" s="1"/>
      <c r="AK308" s="1"/>
      <c r="AL308" s="1"/>
      <c r="AM308" s="1"/>
      <c r="AN308" s="1"/>
      <c r="AO308" s="1"/>
      <c r="AP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4"/>
      <c r="AI309" s="4"/>
      <c r="AJ309" s="1"/>
      <c r="AK309" s="1"/>
      <c r="AL309" s="1"/>
      <c r="AM309" s="1"/>
      <c r="AN309" s="1"/>
      <c r="AO309" s="1"/>
      <c r="AP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4"/>
      <c r="AI310" s="4"/>
      <c r="AJ310" s="1"/>
      <c r="AK310" s="1"/>
      <c r="AL310" s="1"/>
      <c r="AM310" s="1"/>
      <c r="AN310" s="1"/>
      <c r="AO310" s="1"/>
      <c r="AP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4"/>
      <c r="AI311" s="4"/>
      <c r="AJ311" s="1"/>
      <c r="AK311" s="1"/>
      <c r="AL311" s="1"/>
      <c r="AM311" s="1"/>
      <c r="AN311" s="1"/>
      <c r="AO311" s="1"/>
      <c r="AP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4"/>
      <c r="AI312" s="4"/>
      <c r="AJ312" s="1"/>
      <c r="AK312" s="1"/>
      <c r="AL312" s="1"/>
      <c r="AM312" s="1"/>
      <c r="AN312" s="1"/>
      <c r="AO312" s="1"/>
      <c r="AP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4"/>
      <c r="AI313" s="4"/>
      <c r="AJ313" s="1"/>
      <c r="AK313" s="1"/>
      <c r="AL313" s="1"/>
      <c r="AM313" s="1"/>
      <c r="AN313" s="1"/>
      <c r="AO313" s="1"/>
      <c r="AP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4"/>
      <c r="AI314" s="4"/>
      <c r="AJ314" s="1"/>
      <c r="AK314" s="1"/>
      <c r="AL314" s="1"/>
      <c r="AM314" s="1"/>
      <c r="AN314" s="1"/>
      <c r="AO314" s="1"/>
      <c r="AP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4"/>
      <c r="AI315" s="4"/>
      <c r="AJ315" s="1"/>
      <c r="AK315" s="1"/>
      <c r="AL315" s="1"/>
      <c r="AM315" s="1"/>
      <c r="AN315" s="1"/>
      <c r="AO315" s="1"/>
      <c r="AP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4"/>
      <c r="AI316" s="4"/>
      <c r="AJ316" s="1"/>
      <c r="AK316" s="1"/>
      <c r="AL316" s="1"/>
      <c r="AM316" s="1"/>
      <c r="AN316" s="1"/>
      <c r="AO316" s="1"/>
      <c r="AP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4"/>
      <c r="AI317" s="4"/>
      <c r="AJ317" s="1"/>
      <c r="AK317" s="1"/>
      <c r="AL317" s="1"/>
      <c r="AM317" s="1"/>
      <c r="AN317" s="1"/>
      <c r="AO317" s="1"/>
      <c r="AP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4"/>
      <c r="AI318" s="4"/>
      <c r="AJ318" s="1"/>
      <c r="AK318" s="1"/>
      <c r="AL318" s="1"/>
      <c r="AM318" s="1"/>
      <c r="AN318" s="1"/>
      <c r="AO318" s="1"/>
      <c r="AP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4"/>
      <c r="AI319" s="4"/>
      <c r="AJ319" s="1"/>
      <c r="AK319" s="1"/>
      <c r="AL319" s="1"/>
      <c r="AM319" s="1"/>
      <c r="AN319" s="1"/>
      <c r="AO319" s="1"/>
      <c r="AP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4"/>
      <c r="AI320" s="4"/>
      <c r="AJ320" s="1"/>
      <c r="AK320" s="1"/>
      <c r="AL320" s="1"/>
      <c r="AM320" s="1"/>
      <c r="AN320" s="1"/>
      <c r="AO320" s="1"/>
      <c r="AP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4"/>
      <c r="AI321" s="4"/>
      <c r="AJ321" s="1"/>
      <c r="AK321" s="1"/>
      <c r="AL321" s="1"/>
      <c r="AM321" s="1"/>
      <c r="AN321" s="1"/>
      <c r="AO321" s="1"/>
      <c r="AP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4"/>
      <c r="AI322" s="4"/>
      <c r="AJ322" s="1"/>
      <c r="AK322" s="1"/>
      <c r="AL322" s="1"/>
      <c r="AM322" s="1"/>
      <c r="AN322" s="1"/>
      <c r="AO322" s="1"/>
      <c r="AP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4"/>
      <c r="AI323" s="4"/>
      <c r="AJ323" s="1"/>
      <c r="AK323" s="1"/>
      <c r="AL323" s="1"/>
      <c r="AM323" s="1"/>
      <c r="AN323" s="1"/>
      <c r="AO323" s="1"/>
      <c r="AP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4"/>
      <c r="AI324" s="4"/>
      <c r="AJ324" s="1"/>
      <c r="AK324" s="1"/>
      <c r="AL324" s="1"/>
      <c r="AM324" s="1"/>
      <c r="AN324" s="1"/>
      <c r="AO324" s="1"/>
      <c r="AP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4"/>
      <c r="AI325" s="4"/>
      <c r="AJ325" s="1"/>
      <c r="AK325" s="1"/>
      <c r="AL325" s="1"/>
      <c r="AM325" s="1"/>
      <c r="AN325" s="1"/>
      <c r="AO325" s="1"/>
      <c r="AP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4"/>
      <c r="AI326" s="4"/>
      <c r="AJ326" s="1"/>
      <c r="AK326" s="1"/>
      <c r="AL326" s="1"/>
      <c r="AM326" s="1"/>
      <c r="AN326" s="1"/>
      <c r="AO326" s="1"/>
      <c r="AP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4"/>
      <c r="AI327" s="4"/>
      <c r="AJ327" s="1"/>
      <c r="AK327" s="1"/>
      <c r="AL327" s="1"/>
      <c r="AM327" s="1"/>
      <c r="AN327" s="1"/>
      <c r="AO327" s="1"/>
      <c r="AP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4"/>
      <c r="AI328" s="4"/>
      <c r="AJ328" s="1"/>
      <c r="AK328" s="1"/>
      <c r="AL328" s="1"/>
      <c r="AM328" s="1"/>
      <c r="AN328" s="1"/>
      <c r="AO328" s="1"/>
      <c r="AP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4"/>
      <c r="AI329" s="4"/>
      <c r="AJ329" s="1"/>
      <c r="AK329" s="1"/>
      <c r="AL329" s="1"/>
      <c r="AM329" s="1"/>
      <c r="AN329" s="1"/>
      <c r="AO329" s="1"/>
      <c r="AP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4"/>
      <c r="AI330" s="4"/>
      <c r="AJ330" s="1"/>
      <c r="AK330" s="1"/>
      <c r="AL330" s="1"/>
      <c r="AM330" s="1"/>
      <c r="AN330" s="1"/>
      <c r="AO330" s="1"/>
      <c r="AP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4"/>
      <c r="AI331" s="4"/>
      <c r="AJ331" s="1"/>
      <c r="AK331" s="1"/>
      <c r="AL331" s="1"/>
      <c r="AM331" s="1"/>
      <c r="AN331" s="1"/>
      <c r="AO331" s="1"/>
      <c r="AP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4"/>
      <c r="AI332" s="4"/>
      <c r="AJ332" s="1"/>
      <c r="AK332" s="1"/>
      <c r="AL332" s="1"/>
      <c r="AM332" s="1"/>
      <c r="AN332" s="1"/>
      <c r="AO332" s="1"/>
      <c r="AP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4"/>
      <c r="AI333" s="4"/>
      <c r="AJ333" s="1"/>
      <c r="AK333" s="1"/>
      <c r="AL333" s="1"/>
      <c r="AM333" s="1"/>
      <c r="AN333" s="1"/>
      <c r="AO333" s="1"/>
      <c r="AP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4"/>
      <c r="AI334" s="4"/>
      <c r="AJ334" s="1"/>
      <c r="AK334" s="1"/>
      <c r="AL334" s="1"/>
      <c r="AM334" s="1"/>
      <c r="AN334" s="1"/>
      <c r="AO334" s="1"/>
      <c r="AP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4"/>
      <c r="AI335" s="4"/>
      <c r="AJ335" s="1"/>
      <c r="AK335" s="1"/>
      <c r="AL335" s="1"/>
      <c r="AM335" s="1"/>
      <c r="AN335" s="1"/>
      <c r="AO335" s="1"/>
      <c r="AP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4"/>
      <c r="AI336" s="4"/>
      <c r="AJ336" s="1"/>
      <c r="AK336" s="1"/>
      <c r="AL336" s="1"/>
      <c r="AM336" s="1"/>
      <c r="AN336" s="1"/>
      <c r="AO336" s="1"/>
      <c r="AP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4"/>
      <c r="AI337" s="4"/>
      <c r="AJ337" s="1"/>
      <c r="AK337" s="1"/>
      <c r="AL337" s="1"/>
      <c r="AM337" s="1"/>
      <c r="AN337" s="1"/>
      <c r="AO337" s="1"/>
      <c r="AP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4"/>
      <c r="AI338" s="4"/>
      <c r="AJ338" s="1"/>
      <c r="AK338" s="1"/>
      <c r="AL338" s="1"/>
      <c r="AM338" s="1"/>
      <c r="AN338" s="1"/>
      <c r="AO338" s="1"/>
      <c r="AP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4"/>
      <c r="AI339" s="4"/>
      <c r="AJ339" s="1"/>
      <c r="AK339" s="1"/>
      <c r="AL339" s="1"/>
      <c r="AM339" s="1"/>
      <c r="AN339" s="1"/>
      <c r="AO339" s="1"/>
      <c r="AP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4"/>
      <c r="AI340" s="4"/>
      <c r="AJ340" s="1"/>
      <c r="AK340" s="1"/>
      <c r="AL340" s="1"/>
      <c r="AM340" s="1"/>
      <c r="AN340" s="1"/>
      <c r="AO340" s="1"/>
      <c r="AP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4"/>
      <c r="AI341" s="4"/>
      <c r="AJ341" s="1"/>
      <c r="AK341" s="1"/>
      <c r="AL341" s="1"/>
      <c r="AM341" s="1"/>
      <c r="AN341" s="1"/>
      <c r="AO341" s="1"/>
      <c r="AP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4"/>
      <c r="AI342" s="4"/>
      <c r="AJ342" s="1"/>
      <c r="AK342" s="1"/>
      <c r="AL342" s="1"/>
      <c r="AM342" s="1"/>
      <c r="AN342" s="1"/>
      <c r="AO342" s="1"/>
      <c r="AP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4"/>
      <c r="AI343" s="4"/>
      <c r="AJ343" s="1"/>
      <c r="AK343" s="1"/>
      <c r="AL343" s="1"/>
      <c r="AM343" s="1"/>
      <c r="AN343" s="1"/>
      <c r="AO343" s="1"/>
      <c r="AP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4"/>
      <c r="AI344" s="4"/>
      <c r="AJ344" s="1"/>
      <c r="AK344" s="1"/>
      <c r="AL344" s="1"/>
      <c r="AM344" s="1"/>
      <c r="AN344" s="1"/>
      <c r="AO344" s="1"/>
      <c r="AP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4"/>
      <c r="AI345" s="4"/>
      <c r="AJ345" s="1"/>
      <c r="AK345" s="1"/>
      <c r="AL345" s="1"/>
      <c r="AM345" s="1"/>
      <c r="AN345" s="1"/>
      <c r="AO345" s="1"/>
      <c r="AP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4"/>
      <c r="AI346" s="4"/>
      <c r="AJ346" s="1"/>
      <c r="AK346" s="1"/>
      <c r="AL346" s="1"/>
      <c r="AM346" s="1"/>
      <c r="AN346" s="1"/>
      <c r="AO346" s="1"/>
      <c r="AP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4"/>
      <c r="AI347" s="4"/>
      <c r="AJ347" s="1"/>
      <c r="AK347" s="1"/>
      <c r="AL347" s="1"/>
      <c r="AM347" s="1"/>
      <c r="AN347" s="1"/>
      <c r="AO347" s="1"/>
      <c r="AP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4"/>
      <c r="AI348" s="4"/>
      <c r="AJ348" s="1"/>
      <c r="AK348" s="1"/>
      <c r="AL348" s="1"/>
      <c r="AM348" s="1"/>
      <c r="AN348" s="1"/>
      <c r="AO348" s="1"/>
      <c r="AP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4"/>
      <c r="AI349" s="4"/>
      <c r="AJ349" s="1"/>
      <c r="AK349" s="1"/>
      <c r="AL349" s="1"/>
      <c r="AM349" s="1"/>
      <c r="AN349" s="1"/>
      <c r="AO349" s="1"/>
      <c r="AP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4"/>
      <c r="AI350" s="4"/>
      <c r="AJ350" s="1"/>
      <c r="AK350" s="1"/>
      <c r="AL350" s="1"/>
      <c r="AM350" s="1"/>
      <c r="AN350" s="1"/>
      <c r="AO350" s="1"/>
      <c r="AP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4"/>
      <c r="AI351" s="4"/>
      <c r="AJ351" s="1"/>
      <c r="AK351" s="1"/>
      <c r="AL351" s="1"/>
      <c r="AM351" s="1"/>
      <c r="AN351" s="1"/>
      <c r="AO351" s="1"/>
      <c r="AP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4"/>
      <c r="AI352" s="4"/>
      <c r="AJ352" s="1"/>
      <c r="AK352" s="1"/>
      <c r="AL352" s="1"/>
      <c r="AM352" s="1"/>
      <c r="AN352" s="1"/>
      <c r="AO352" s="1"/>
      <c r="AP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4"/>
      <c r="AI353" s="4"/>
      <c r="AJ353" s="1"/>
      <c r="AK353" s="1"/>
      <c r="AL353" s="1"/>
      <c r="AM353" s="1"/>
      <c r="AN353" s="1"/>
      <c r="AO353" s="1"/>
      <c r="AP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4"/>
      <c r="AI354" s="4"/>
      <c r="AJ354" s="1"/>
      <c r="AK354" s="1"/>
      <c r="AL354" s="1"/>
      <c r="AM354" s="1"/>
      <c r="AN354" s="1"/>
      <c r="AO354" s="1"/>
      <c r="AP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4"/>
      <c r="AI355" s="4"/>
      <c r="AJ355" s="1"/>
      <c r="AK355" s="1"/>
      <c r="AL355" s="1"/>
      <c r="AM355" s="1"/>
      <c r="AN355" s="1"/>
      <c r="AO355" s="1"/>
      <c r="AP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4"/>
      <c r="AI356" s="4"/>
      <c r="AJ356" s="1"/>
      <c r="AK356" s="1"/>
      <c r="AL356" s="1"/>
      <c r="AM356" s="1"/>
      <c r="AN356" s="1"/>
      <c r="AO356" s="1"/>
      <c r="AP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4"/>
      <c r="AI357" s="4"/>
      <c r="AJ357" s="1"/>
      <c r="AK357" s="1"/>
      <c r="AL357" s="1"/>
      <c r="AM357" s="1"/>
      <c r="AN357" s="1"/>
      <c r="AO357" s="1"/>
      <c r="AP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4"/>
      <c r="AI358" s="4"/>
      <c r="AJ358" s="1"/>
      <c r="AK358" s="1"/>
      <c r="AL358" s="1"/>
      <c r="AM358" s="1"/>
      <c r="AN358" s="1"/>
      <c r="AO358" s="1"/>
      <c r="AP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4"/>
      <c r="AI359" s="4"/>
      <c r="AJ359" s="1"/>
      <c r="AK359" s="1"/>
      <c r="AL359" s="1"/>
      <c r="AM359" s="1"/>
      <c r="AN359" s="1"/>
      <c r="AO359" s="1"/>
      <c r="AP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4"/>
      <c r="AI360" s="4"/>
      <c r="AJ360" s="1"/>
      <c r="AK360" s="1"/>
      <c r="AL360" s="1"/>
      <c r="AM360" s="1"/>
      <c r="AN360" s="1"/>
      <c r="AO360" s="1"/>
      <c r="AP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4"/>
      <c r="AI361" s="4"/>
      <c r="AJ361" s="1"/>
      <c r="AK361" s="1"/>
      <c r="AL361" s="1"/>
      <c r="AM361" s="1"/>
      <c r="AN361" s="1"/>
      <c r="AO361" s="1"/>
      <c r="AP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4"/>
      <c r="AI362" s="4"/>
      <c r="AJ362" s="1"/>
      <c r="AK362" s="1"/>
      <c r="AL362" s="1"/>
      <c r="AM362" s="1"/>
      <c r="AN362" s="1"/>
      <c r="AO362" s="1"/>
      <c r="AP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4"/>
      <c r="AI363" s="4"/>
      <c r="AJ363" s="1"/>
      <c r="AK363" s="1"/>
      <c r="AL363" s="1"/>
      <c r="AM363" s="1"/>
      <c r="AN363" s="1"/>
      <c r="AO363" s="1"/>
      <c r="AP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4"/>
      <c r="AI364" s="4"/>
      <c r="AJ364" s="1"/>
      <c r="AK364" s="1"/>
      <c r="AL364" s="1"/>
      <c r="AM364" s="1"/>
      <c r="AN364" s="1"/>
      <c r="AO364" s="1"/>
      <c r="AP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4"/>
      <c r="AI365" s="4"/>
      <c r="AJ365" s="1"/>
      <c r="AK365" s="1"/>
      <c r="AL365" s="1"/>
      <c r="AM365" s="1"/>
      <c r="AN365" s="1"/>
      <c r="AO365" s="1"/>
      <c r="AP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4"/>
      <c r="AI366" s="4"/>
      <c r="AJ366" s="1"/>
      <c r="AK366" s="1"/>
      <c r="AL366" s="1"/>
      <c r="AM366" s="1"/>
      <c r="AN366" s="1"/>
      <c r="AO366" s="1"/>
      <c r="AP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4"/>
      <c r="AI367" s="4"/>
      <c r="AJ367" s="1"/>
      <c r="AK367" s="1"/>
      <c r="AL367" s="1"/>
      <c r="AM367" s="1"/>
      <c r="AN367" s="1"/>
      <c r="AO367" s="1"/>
      <c r="AP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4"/>
      <c r="AI368" s="4"/>
      <c r="AJ368" s="1"/>
      <c r="AK368" s="1"/>
      <c r="AL368" s="1"/>
      <c r="AM368" s="1"/>
      <c r="AN368" s="1"/>
      <c r="AO368" s="1"/>
      <c r="AP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4"/>
      <c r="AI369" s="4"/>
      <c r="AJ369" s="1"/>
      <c r="AK369" s="1"/>
      <c r="AL369" s="1"/>
      <c r="AM369" s="1"/>
      <c r="AN369" s="1"/>
      <c r="AO369" s="1"/>
      <c r="AP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4"/>
      <c r="AI370" s="4"/>
      <c r="AJ370" s="1"/>
      <c r="AK370" s="1"/>
      <c r="AL370" s="1"/>
      <c r="AM370" s="1"/>
      <c r="AN370" s="1"/>
      <c r="AO370" s="1"/>
      <c r="AP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4"/>
      <c r="AI371" s="4"/>
      <c r="AJ371" s="1"/>
      <c r="AK371" s="1"/>
      <c r="AL371" s="1"/>
      <c r="AM371" s="1"/>
      <c r="AN371" s="1"/>
      <c r="AO371" s="1"/>
      <c r="AP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4"/>
      <c r="AI372" s="4"/>
      <c r="AJ372" s="1"/>
      <c r="AK372" s="1"/>
      <c r="AL372" s="1"/>
      <c r="AM372" s="1"/>
      <c r="AN372" s="1"/>
      <c r="AO372" s="1"/>
      <c r="AP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4"/>
      <c r="AI373" s="4"/>
      <c r="AJ373" s="1"/>
      <c r="AK373" s="1"/>
      <c r="AL373" s="1"/>
      <c r="AM373" s="1"/>
      <c r="AN373" s="1"/>
      <c r="AO373" s="1"/>
      <c r="AP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4"/>
      <c r="AI374" s="4"/>
      <c r="AJ374" s="1"/>
      <c r="AK374" s="1"/>
      <c r="AL374" s="1"/>
      <c r="AM374" s="1"/>
      <c r="AN374" s="1"/>
      <c r="AO374" s="1"/>
      <c r="AP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4"/>
      <c r="AI375" s="4"/>
      <c r="AJ375" s="1"/>
      <c r="AK375" s="1"/>
      <c r="AL375" s="1"/>
      <c r="AM375" s="1"/>
      <c r="AN375" s="1"/>
      <c r="AO375" s="1"/>
      <c r="AP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4"/>
      <c r="AI376" s="4"/>
      <c r="AJ376" s="1"/>
      <c r="AK376" s="1"/>
      <c r="AL376" s="1"/>
      <c r="AM376" s="1"/>
      <c r="AN376" s="1"/>
      <c r="AO376" s="1"/>
      <c r="AP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4"/>
      <c r="AI377" s="4"/>
      <c r="AJ377" s="1"/>
      <c r="AK377" s="1"/>
      <c r="AL377" s="1"/>
      <c r="AM377" s="1"/>
      <c r="AN377" s="1"/>
      <c r="AO377" s="1"/>
      <c r="AP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4"/>
      <c r="AI378" s="4"/>
      <c r="AJ378" s="1"/>
      <c r="AK378" s="1"/>
      <c r="AL378" s="1"/>
      <c r="AM378" s="1"/>
      <c r="AN378" s="1"/>
      <c r="AO378" s="1"/>
      <c r="AP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4"/>
      <c r="AI379" s="4"/>
      <c r="AJ379" s="1"/>
      <c r="AK379" s="1"/>
      <c r="AL379" s="1"/>
      <c r="AM379" s="1"/>
      <c r="AN379" s="1"/>
      <c r="AO379" s="1"/>
      <c r="AP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4"/>
      <c r="AI380" s="4"/>
      <c r="AJ380" s="1"/>
      <c r="AK380" s="1"/>
      <c r="AL380" s="1"/>
      <c r="AM380" s="1"/>
      <c r="AN380" s="1"/>
      <c r="AO380" s="1"/>
      <c r="AP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4"/>
      <c r="AI381" s="4"/>
      <c r="AJ381" s="1"/>
      <c r="AK381" s="1"/>
      <c r="AL381" s="1"/>
      <c r="AM381" s="1"/>
      <c r="AN381" s="1"/>
      <c r="AO381" s="1"/>
      <c r="AP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4"/>
      <c r="AI382" s="4"/>
      <c r="AJ382" s="1"/>
      <c r="AK382" s="1"/>
      <c r="AL382" s="1"/>
      <c r="AM382" s="1"/>
      <c r="AN382" s="1"/>
      <c r="AO382" s="1"/>
      <c r="AP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4"/>
      <c r="AI383" s="4"/>
      <c r="AJ383" s="1"/>
      <c r="AK383" s="1"/>
      <c r="AL383" s="1"/>
      <c r="AM383" s="1"/>
      <c r="AN383" s="1"/>
      <c r="AO383" s="1"/>
      <c r="AP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4"/>
      <c r="AI384" s="4"/>
      <c r="AJ384" s="1"/>
      <c r="AK384" s="1"/>
      <c r="AL384" s="1"/>
      <c r="AM384" s="1"/>
      <c r="AN384" s="1"/>
      <c r="AO384" s="1"/>
      <c r="AP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4"/>
      <c r="AI385" s="4"/>
      <c r="AJ385" s="1"/>
      <c r="AK385" s="1"/>
      <c r="AL385" s="1"/>
      <c r="AM385" s="1"/>
      <c r="AN385" s="1"/>
      <c r="AO385" s="1"/>
      <c r="AP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4"/>
      <c r="AI386" s="4"/>
      <c r="AJ386" s="1"/>
      <c r="AK386" s="1"/>
      <c r="AL386" s="1"/>
      <c r="AM386" s="1"/>
      <c r="AN386" s="1"/>
      <c r="AO386" s="1"/>
      <c r="AP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4"/>
      <c r="AI387" s="4"/>
      <c r="AJ387" s="1"/>
      <c r="AK387" s="1"/>
      <c r="AL387" s="1"/>
      <c r="AM387" s="1"/>
      <c r="AN387" s="1"/>
      <c r="AO387" s="1"/>
      <c r="AP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4"/>
      <c r="AI388" s="4"/>
      <c r="AJ388" s="1"/>
      <c r="AK388" s="1"/>
      <c r="AL388" s="1"/>
      <c r="AM388" s="1"/>
      <c r="AN388" s="1"/>
      <c r="AO388" s="1"/>
      <c r="AP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4"/>
      <c r="AI389" s="4"/>
      <c r="AJ389" s="1"/>
      <c r="AK389" s="1"/>
      <c r="AL389" s="1"/>
      <c r="AM389" s="1"/>
      <c r="AN389" s="1"/>
      <c r="AO389" s="1"/>
      <c r="AP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4"/>
      <c r="AI390" s="4"/>
      <c r="AJ390" s="1"/>
      <c r="AK390" s="1"/>
      <c r="AL390" s="1"/>
      <c r="AM390" s="1"/>
      <c r="AN390" s="1"/>
      <c r="AO390" s="1"/>
      <c r="AP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4"/>
      <c r="AI391" s="4"/>
      <c r="AJ391" s="1"/>
      <c r="AK391" s="1"/>
      <c r="AL391" s="1"/>
      <c r="AM391" s="1"/>
      <c r="AN391" s="1"/>
      <c r="AO391" s="1"/>
      <c r="AP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4"/>
      <c r="AI392" s="4"/>
      <c r="AJ392" s="1"/>
      <c r="AK392" s="1"/>
      <c r="AL392" s="1"/>
      <c r="AM392" s="1"/>
      <c r="AN392" s="1"/>
      <c r="AO392" s="1"/>
      <c r="AP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4"/>
      <c r="AI393" s="4"/>
      <c r="AJ393" s="1"/>
      <c r="AK393" s="1"/>
      <c r="AL393" s="1"/>
      <c r="AM393" s="1"/>
      <c r="AN393" s="1"/>
      <c r="AO393" s="1"/>
      <c r="AP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4"/>
      <c r="AI394" s="4"/>
      <c r="AJ394" s="1"/>
      <c r="AK394" s="1"/>
      <c r="AL394" s="1"/>
      <c r="AM394" s="1"/>
      <c r="AN394" s="1"/>
      <c r="AO394" s="1"/>
      <c r="AP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4"/>
      <c r="AI395" s="4"/>
      <c r="AJ395" s="1"/>
      <c r="AK395" s="1"/>
      <c r="AL395" s="1"/>
      <c r="AM395" s="1"/>
      <c r="AN395" s="1"/>
      <c r="AO395" s="1"/>
      <c r="AP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4"/>
      <c r="AI396" s="4"/>
      <c r="AJ396" s="1"/>
      <c r="AK396" s="1"/>
      <c r="AL396" s="1"/>
      <c r="AM396" s="1"/>
      <c r="AN396" s="1"/>
      <c r="AO396" s="1"/>
      <c r="AP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4"/>
      <c r="AI397" s="4"/>
      <c r="AJ397" s="1"/>
      <c r="AK397" s="1"/>
      <c r="AL397" s="1"/>
      <c r="AM397" s="1"/>
      <c r="AN397" s="1"/>
      <c r="AO397" s="1"/>
      <c r="AP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4"/>
      <c r="AI398" s="4"/>
      <c r="AJ398" s="1"/>
      <c r="AK398" s="1"/>
      <c r="AL398" s="1"/>
      <c r="AM398" s="1"/>
      <c r="AN398" s="1"/>
      <c r="AO398" s="1"/>
      <c r="AP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4"/>
      <c r="AI399" s="4"/>
      <c r="AJ399" s="1"/>
      <c r="AK399" s="1"/>
      <c r="AL399" s="1"/>
      <c r="AM399" s="1"/>
      <c r="AN399" s="1"/>
      <c r="AO399" s="1"/>
      <c r="AP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4"/>
      <c r="AI400" s="4"/>
      <c r="AJ400" s="1"/>
      <c r="AK400" s="1"/>
      <c r="AL400" s="1"/>
      <c r="AM400" s="1"/>
      <c r="AN400" s="1"/>
      <c r="AO400" s="1"/>
      <c r="AP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4"/>
      <c r="AI401" s="4"/>
      <c r="AJ401" s="1"/>
      <c r="AK401" s="1"/>
      <c r="AL401" s="1"/>
      <c r="AM401" s="1"/>
      <c r="AN401" s="1"/>
      <c r="AO401" s="1"/>
      <c r="AP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4"/>
      <c r="AI402" s="4"/>
      <c r="AJ402" s="1"/>
      <c r="AK402" s="1"/>
      <c r="AL402" s="1"/>
      <c r="AM402" s="1"/>
      <c r="AN402" s="1"/>
      <c r="AO402" s="1"/>
      <c r="AP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4"/>
      <c r="AI403" s="4"/>
      <c r="AJ403" s="1"/>
      <c r="AK403" s="1"/>
      <c r="AL403" s="1"/>
      <c r="AM403" s="1"/>
      <c r="AN403" s="1"/>
      <c r="AO403" s="1"/>
      <c r="AP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4"/>
      <c r="AI404" s="4"/>
      <c r="AJ404" s="1"/>
      <c r="AK404" s="1"/>
      <c r="AL404" s="1"/>
      <c r="AM404" s="1"/>
      <c r="AN404" s="1"/>
      <c r="AO404" s="1"/>
      <c r="AP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4"/>
      <c r="AI405" s="4"/>
      <c r="AJ405" s="1"/>
      <c r="AK405" s="1"/>
      <c r="AL405" s="1"/>
      <c r="AM405" s="1"/>
      <c r="AN405" s="1"/>
      <c r="AO405" s="1"/>
      <c r="AP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4"/>
      <c r="AI406" s="4"/>
      <c r="AJ406" s="1"/>
      <c r="AK406" s="1"/>
      <c r="AL406" s="1"/>
      <c r="AM406" s="1"/>
      <c r="AN406" s="1"/>
      <c r="AO406" s="1"/>
      <c r="AP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4"/>
      <c r="AI407" s="4"/>
      <c r="AJ407" s="1"/>
      <c r="AK407" s="1"/>
      <c r="AL407" s="1"/>
      <c r="AM407" s="1"/>
      <c r="AN407" s="1"/>
      <c r="AO407" s="1"/>
      <c r="AP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4"/>
      <c r="AI408" s="4"/>
      <c r="AJ408" s="1"/>
      <c r="AK408" s="1"/>
      <c r="AL408" s="1"/>
      <c r="AM408" s="1"/>
      <c r="AN408" s="1"/>
      <c r="AO408" s="1"/>
      <c r="AP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4"/>
      <c r="AI409" s="4"/>
      <c r="AJ409" s="1"/>
      <c r="AK409" s="1"/>
      <c r="AL409" s="1"/>
      <c r="AM409" s="1"/>
      <c r="AN409" s="1"/>
      <c r="AO409" s="1"/>
      <c r="AP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4"/>
      <c r="AI410" s="4"/>
      <c r="AJ410" s="1"/>
      <c r="AK410" s="1"/>
      <c r="AL410" s="1"/>
      <c r="AM410" s="1"/>
      <c r="AN410" s="1"/>
      <c r="AO410" s="1"/>
      <c r="AP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4"/>
      <c r="AI411" s="4"/>
      <c r="AJ411" s="1"/>
      <c r="AK411" s="1"/>
      <c r="AL411" s="1"/>
      <c r="AM411" s="1"/>
      <c r="AN411" s="1"/>
      <c r="AO411" s="1"/>
      <c r="AP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4"/>
      <c r="AI412" s="4"/>
      <c r="AJ412" s="1"/>
      <c r="AK412" s="1"/>
      <c r="AL412" s="1"/>
      <c r="AM412" s="1"/>
      <c r="AN412" s="1"/>
      <c r="AO412" s="1"/>
      <c r="AP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4"/>
      <c r="AI413" s="4"/>
      <c r="AJ413" s="1"/>
      <c r="AK413" s="1"/>
      <c r="AL413" s="1"/>
      <c r="AM413" s="1"/>
      <c r="AN413" s="1"/>
      <c r="AO413" s="1"/>
      <c r="AP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4"/>
      <c r="AI414" s="4"/>
      <c r="AJ414" s="1"/>
      <c r="AK414" s="1"/>
      <c r="AL414" s="1"/>
      <c r="AM414" s="1"/>
      <c r="AN414" s="1"/>
      <c r="AO414" s="1"/>
      <c r="AP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4"/>
      <c r="AI415" s="4"/>
      <c r="AJ415" s="1"/>
      <c r="AK415" s="1"/>
      <c r="AL415" s="1"/>
      <c r="AM415" s="1"/>
      <c r="AN415" s="1"/>
      <c r="AO415" s="1"/>
      <c r="AP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4"/>
      <c r="AI416" s="4"/>
      <c r="AJ416" s="1"/>
      <c r="AK416" s="1"/>
      <c r="AL416" s="1"/>
      <c r="AM416" s="1"/>
      <c r="AN416" s="1"/>
      <c r="AO416" s="1"/>
      <c r="AP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4"/>
      <c r="AI417" s="4"/>
      <c r="AJ417" s="1"/>
      <c r="AK417" s="1"/>
      <c r="AL417" s="1"/>
      <c r="AM417" s="1"/>
      <c r="AN417" s="1"/>
      <c r="AO417" s="1"/>
      <c r="AP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4"/>
      <c r="AI418" s="4"/>
      <c r="AJ418" s="1"/>
      <c r="AK418" s="1"/>
      <c r="AL418" s="1"/>
      <c r="AM418" s="1"/>
      <c r="AN418" s="1"/>
      <c r="AO418" s="1"/>
      <c r="AP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4"/>
      <c r="AI419" s="4"/>
      <c r="AJ419" s="1"/>
      <c r="AK419" s="1"/>
      <c r="AL419" s="1"/>
      <c r="AM419" s="1"/>
      <c r="AN419" s="1"/>
      <c r="AO419" s="1"/>
      <c r="AP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4"/>
      <c r="AI420" s="4"/>
      <c r="AJ420" s="1"/>
      <c r="AK420" s="1"/>
      <c r="AL420" s="1"/>
      <c r="AM420" s="1"/>
      <c r="AN420" s="1"/>
      <c r="AO420" s="1"/>
      <c r="AP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4"/>
      <c r="AI421" s="4"/>
      <c r="AJ421" s="1"/>
      <c r="AK421" s="1"/>
      <c r="AL421" s="1"/>
      <c r="AM421" s="1"/>
      <c r="AN421" s="1"/>
      <c r="AO421" s="1"/>
      <c r="AP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4"/>
      <c r="AI422" s="4"/>
      <c r="AJ422" s="1"/>
      <c r="AK422" s="1"/>
      <c r="AL422" s="1"/>
      <c r="AM422" s="1"/>
      <c r="AN422" s="1"/>
      <c r="AO422" s="1"/>
      <c r="AP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4"/>
      <c r="AI423" s="4"/>
      <c r="AJ423" s="1"/>
      <c r="AK423" s="1"/>
      <c r="AL423" s="1"/>
      <c r="AM423" s="1"/>
      <c r="AN423" s="1"/>
      <c r="AO423" s="1"/>
      <c r="AP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4"/>
      <c r="AI424" s="4"/>
      <c r="AJ424" s="1"/>
      <c r="AK424" s="1"/>
      <c r="AL424" s="1"/>
      <c r="AM424" s="1"/>
      <c r="AN424" s="1"/>
      <c r="AO424" s="1"/>
      <c r="AP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4"/>
      <c r="AI425" s="4"/>
      <c r="AJ425" s="1"/>
      <c r="AK425" s="1"/>
      <c r="AL425" s="1"/>
      <c r="AM425" s="1"/>
      <c r="AN425" s="1"/>
      <c r="AO425" s="1"/>
      <c r="AP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4"/>
      <c r="AI426" s="4"/>
      <c r="AJ426" s="1"/>
      <c r="AK426" s="1"/>
      <c r="AL426" s="1"/>
      <c r="AM426" s="1"/>
      <c r="AN426" s="1"/>
      <c r="AO426" s="1"/>
      <c r="AP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4"/>
      <c r="AI427" s="4"/>
      <c r="AJ427" s="1"/>
      <c r="AK427" s="1"/>
      <c r="AL427" s="1"/>
      <c r="AM427" s="1"/>
      <c r="AN427" s="1"/>
      <c r="AO427" s="1"/>
      <c r="AP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4"/>
      <c r="AI428" s="4"/>
      <c r="AJ428" s="1"/>
      <c r="AK428" s="1"/>
      <c r="AL428" s="1"/>
      <c r="AM428" s="1"/>
      <c r="AN428" s="1"/>
      <c r="AO428" s="1"/>
      <c r="AP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4"/>
      <c r="AI429" s="4"/>
      <c r="AJ429" s="1"/>
      <c r="AK429" s="1"/>
      <c r="AL429" s="1"/>
      <c r="AM429" s="1"/>
      <c r="AN429" s="1"/>
      <c r="AO429" s="1"/>
      <c r="AP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4"/>
      <c r="AI430" s="4"/>
      <c r="AJ430" s="1"/>
      <c r="AK430" s="1"/>
      <c r="AL430" s="1"/>
      <c r="AM430" s="1"/>
      <c r="AN430" s="1"/>
      <c r="AO430" s="1"/>
      <c r="AP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4"/>
      <c r="AI431" s="4"/>
      <c r="AJ431" s="1"/>
      <c r="AK431" s="1"/>
      <c r="AL431" s="1"/>
      <c r="AM431" s="1"/>
      <c r="AN431" s="1"/>
      <c r="AO431" s="1"/>
      <c r="AP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4"/>
      <c r="AI432" s="4"/>
      <c r="AJ432" s="1"/>
      <c r="AK432" s="1"/>
      <c r="AL432" s="1"/>
      <c r="AM432" s="1"/>
      <c r="AN432" s="1"/>
      <c r="AO432" s="1"/>
      <c r="AP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4"/>
      <c r="AI433" s="4"/>
      <c r="AJ433" s="1"/>
      <c r="AK433" s="1"/>
      <c r="AL433" s="1"/>
      <c r="AM433" s="1"/>
      <c r="AN433" s="1"/>
      <c r="AO433" s="1"/>
      <c r="AP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4"/>
      <c r="AI434" s="4"/>
      <c r="AJ434" s="1"/>
      <c r="AK434" s="1"/>
      <c r="AL434" s="1"/>
      <c r="AM434" s="1"/>
      <c r="AN434" s="1"/>
      <c r="AO434" s="1"/>
      <c r="AP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4"/>
      <c r="AI435" s="4"/>
      <c r="AJ435" s="1"/>
      <c r="AK435" s="1"/>
      <c r="AL435" s="1"/>
      <c r="AM435" s="1"/>
      <c r="AN435" s="1"/>
      <c r="AO435" s="1"/>
      <c r="AP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4"/>
      <c r="AI436" s="4"/>
      <c r="AJ436" s="1"/>
      <c r="AK436" s="1"/>
      <c r="AL436" s="1"/>
      <c r="AM436" s="1"/>
      <c r="AN436" s="1"/>
      <c r="AO436" s="1"/>
      <c r="AP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4"/>
      <c r="AI437" s="4"/>
      <c r="AJ437" s="1"/>
      <c r="AK437" s="1"/>
      <c r="AL437" s="1"/>
      <c r="AM437" s="1"/>
      <c r="AN437" s="1"/>
      <c r="AO437" s="1"/>
      <c r="AP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4"/>
      <c r="AI438" s="4"/>
      <c r="AJ438" s="1"/>
      <c r="AK438" s="1"/>
      <c r="AL438" s="1"/>
      <c r="AM438" s="1"/>
      <c r="AN438" s="1"/>
      <c r="AO438" s="1"/>
      <c r="AP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4"/>
      <c r="AI439" s="4"/>
      <c r="AJ439" s="1"/>
      <c r="AK439" s="1"/>
      <c r="AL439" s="1"/>
      <c r="AM439" s="1"/>
      <c r="AN439" s="1"/>
      <c r="AO439" s="1"/>
      <c r="AP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4"/>
      <c r="AI440" s="4"/>
      <c r="AJ440" s="1"/>
      <c r="AK440" s="1"/>
      <c r="AL440" s="1"/>
      <c r="AM440" s="1"/>
      <c r="AN440" s="1"/>
      <c r="AO440" s="1"/>
      <c r="AP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4"/>
      <c r="AI441" s="4"/>
      <c r="AJ441" s="1"/>
      <c r="AK441" s="1"/>
      <c r="AL441" s="1"/>
      <c r="AM441" s="1"/>
      <c r="AN441" s="1"/>
      <c r="AO441" s="1"/>
      <c r="AP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4"/>
      <c r="AI442" s="4"/>
      <c r="AJ442" s="1"/>
      <c r="AK442" s="1"/>
      <c r="AL442" s="1"/>
      <c r="AM442" s="1"/>
      <c r="AN442" s="1"/>
      <c r="AO442" s="1"/>
      <c r="AP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4"/>
      <c r="AI443" s="4"/>
      <c r="AJ443" s="1"/>
      <c r="AK443" s="1"/>
      <c r="AL443" s="1"/>
      <c r="AM443" s="1"/>
      <c r="AN443" s="1"/>
      <c r="AO443" s="1"/>
      <c r="AP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4"/>
      <c r="AI444" s="4"/>
      <c r="AJ444" s="1"/>
      <c r="AK444" s="1"/>
      <c r="AL444" s="1"/>
      <c r="AM444" s="1"/>
      <c r="AN444" s="1"/>
      <c r="AO444" s="1"/>
      <c r="AP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4"/>
      <c r="AI445" s="4"/>
      <c r="AJ445" s="1"/>
      <c r="AK445" s="1"/>
      <c r="AL445" s="1"/>
      <c r="AM445" s="1"/>
      <c r="AN445" s="1"/>
      <c r="AO445" s="1"/>
      <c r="AP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4"/>
      <c r="AI446" s="4"/>
      <c r="AJ446" s="1"/>
      <c r="AK446" s="1"/>
      <c r="AL446" s="1"/>
      <c r="AM446" s="1"/>
      <c r="AN446" s="1"/>
      <c r="AO446" s="1"/>
      <c r="AP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4"/>
      <c r="AI447" s="4"/>
      <c r="AJ447" s="1"/>
      <c r="AK447" s="1"/>
      <c r="AL447" s="1"/>
      <c r="AM447" s="1"/>
      <c r="AN447" s="1"/>
      <c r="AO447" s="1"/>
      <c r="AP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4"/>
      <c r="AI448" s="4"/>
      <c r="AJ448" s="1"/>
      <c r="AK448" s="1"/>
      <c r="AL448" s="1"/>
      <c r="AM448" s="1"/>
      <c r="AN448" s="1"/>
      <c r="AO448" s="1"/>
      <c r="AP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4"/>
      <c r="AI449" s="4"/>
      <c r="AJ449" s="1"/>
      <c r="AK449" s="1"/>
      <c r="AL449" s="1"/>
      <c r="AM449" s="1"/>
      <c r="AN449" s="1"/>
      <c r="AO449" s="1"/>
      <c r="AP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4"/>
      <c r="AI450" s="4"/>
      <c r="AJ450" s="1"/>
      <c r="AK450" s="1"/>
      <c r="AL450" s="1"/>
      <c r="AM450" s="1"/>
      <c r="AN450" s="1"/>
      <c r="AO450" s="1"/>
      <c r="AP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4"/>
      <c r="AI451" s="4"/>
      <c r="AJ451" s="1"/>
      <c r="AK451" s="1"/>
      <c r="AL451" s="1"/>
      <c r="AM451" s="1"/>
      <c r="AN451" s="1"/>
      <c r="AO451" s="1"/>
      <c r="AP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4"/>
      <c r="AI452" s="4"/>
      <c r="AJ452" s="1"/>
      <c r="AK452" s="1"/>
      <c r="AL452" s="1"/>
      <c r="AM452" s="1"/>
      <c r="AN452" s="1"/>
      <c r="AO452" s="1"/>
      <c r="AP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4"/>
      <c r="AI453" s="4"/>
      <c r="AJ453" s="1"/>
      <c r="AK453" s="1"/>
      <c r="AL453" s="1"/>
      <c r="AM453" s="1"/>
      <c r="AN453" s="1"/>
      <c r="AO453" s="1"/>
      <c r="AP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4"/>
      <c r="AI454" s="4"/>
      <c r="AJ454" s="1"/>
      <c r="AK454" s="1"/>
      <c r="AL454" s="1"/>
      <c r="AM454" s="1"/>
      <c r="AN454" s="1"/>
      <c r="AO454" s="1"/>
      <c r="AP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4"/>
      <c r="AI455" s="4"/>
      <c r="AJ455" s="1"/>
      <c r="AK455" s="1"/>
      <c r="AL455" s="1"/>
      <c r="AM455" s="1"/>
      <c r="AN455" s="1"/>
      <c r="AO455" s="1"/>
      <c r="AP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4"/>
      <c r="AI456" s="4"/>
      <c r="AJ456" s="1"/>
      <c r="AK456" s="1"/>
      <c r="AL456" s="1"/>
      <c r="AM456" s="1"/>
      <c r="AN456" s="1"/>
      <c r="AO456" s="1"/>
      <c r="AP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4"/>
      <c r="AI457" s="4"/>
      <c r="AJ457" s="1"/>
      <c r="AK457" s="1"/>
      <c r="AL457" s="1"/>
      <c r="AM457" s="1"/>
      <c r="AN457" s="1"/>
      <c r="AO457" s="1"/>
      <c r="AP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4"/>
      <c r="AI458" s="4"/>
      <c r="AJ458" s="1"/>
      <c r="AK458" s="1"/>
      <c r="AL458" s="1"/>
      <c r="AM458" s="1"/>
      <c r="AN458" s="1"/>
      <c r="AO458" s="1"/>
      <c r="AP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4"/>
      <c r="AI459" s="4"/>
      <c r="AJ459" s="1"/>
      <c r="AK459" s="1"/>
      <c r="AL459" s="1"/>
      <c r="AM459" s="1"/>
      <c r="AN459" s="1"/>
      <c r="AO459" s="1"/>
      <c r="AP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4"/>
      <c r="AI460" s="4"/>
      <c r="AJ460" s="1"/>
      <c r="AK460" s="1"/>
      <c r="AL460" s="1"/>
      <c r="AM460" s="1"/>
      <c r="AN460" s="1"/>
      <c r="AO460" s="1"/>
      <c r="AP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4"/>
      <c r="AI461" s="4"/>
      <c r="AJ461" s="1"/>
      <c r="AK461" s="1"/>
      <c r="AL461" s="1"/>
      <c r="AM461" s="1"/>
      <c r="AN461" s="1"/>
      <c r="AO461" s="1"/>
      <c r="AP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4"/>
      <c r="AI462" s="4"/>
      <c r="AJ462" s="1"/>
      <c r="AK462" s="1"/>
      <c r="AL462" s="1"/>
      <c r="AM462" s="1"/>
      <c r="AN462" s="1"/>
      <c r="AO462" s="1"/>
      <c r="AP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4"/>
      <c r="AI463" s="4"/>
      <c r="AJ463" s="1"/>
      <c r="AK463" s="1"/>
      <c r="AL463" s="1"/>
      <c r="AM463" s="1"/>
      <c r="AN463" s="1"/>
      <c r="AO463" s="1"/>
      <c r="AP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4"/>
      <c r="AI464" s="4"/>
      <c r="AJ464" s="1"/>
      <c r="AK464" s="1"/>
      <c r="AL464" s="1"/>
      <c r="AM464" s="1"/>
      <c r="AN464" s="1"/>
      <c r="AO464" s="1"/>
      <c r="AP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4"/>
      <c r="AI465" s="4"/>
      <c r="AJ465" s="1"/>
      <c r="AK465" s="1"/>
      <c r="AL465" s="1"/>
      <c r="AM465" s="1"/>
      <c r="AN465" s="1"/>
      <c r="AO465" s="1"/>
      <c r="AP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4"/>
      <c r="AI466" s="4"/>
      <c r="AJ466" s="1"/>
      <c r="AK466" s="1"/>
      <c r="AL466" s="1"/>
      <c r="AM466" s="1"/>
      <c r="AN466" s="1"/>
      <c r="AO466" s="1"/>
      <c r="AP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4"/>
      <c r="AI467" s="4"/>
      <c r="AJ467" s="1"/>
      <c r="AK467" s="1"/>
      <c r="AL467" s="1"/>
      <c r="AM467" s="1"/>
      <c r="AN467" s="1"/>
      <c r="AO467" s="1"/>
      <c r="AP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4"/>
      <c r="AI468" s="4"/>
      <c r="AJ468" s="1"/>
      <c r="AK468" s="1"/>
      <c r="AL468" s="1"/>
      <c r="AM468" s="1"/>
      <c r="AN468" s="1"/>
      <c r="AO468" s="1"/>
      <c r="AP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4"/>
      <c r="AI469" s="4"/>
      <c r="AJ469" s="1"/>
      <c r="AK469" s="1"/>
      <c r="AL469" s="1"/>
      <c r="AM469" s="1"/>
      <c r="AN469" s="1"/>
      <c r="AO469" s="1"/>
      <c r="AP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4"/>
      <c r="AI470" s="4"/>
      <c r="AJ470" s="1"/>
      <c r="AK470" s="1"/>
      <c r="AL470" s="1"/>
      <c r="AM470" s="1"/>
      <c r="AN470" s="1"/>
      <c r="AO470" s="1"/>
      <c r="AP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4"/>
      <c r="AI471" s="4"/>
      <c r="AJ471" s="1"/>
      <c r="AK471" s="1"/>
      <c r="AL471" s="1"/>
      <c r="AM471" s="1"/>
      <c r="AN471" s="1"/>
      <c r="AO471" s="1"/>
      <c r="AP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4"/>
      <c r="AI472" s="4"/>
      <c r="AJ472" s="1"/>
      <c r="AK472" s="1"/>
      <c r="AL472" s="1"/>
      <c r="AM472" s="1"/>
      <c r="AN472" s="1"/>
      <c r="AO472" s="1"/>
      <c r="AP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4"/>
      <c r="AI473" s="4"/>
      <c r="AJ473" s="1"/>
      <c r="AK473" s="1"/>
      <c r="AL473" s="1"/>
      <c r="AM473" s="1"/>
      <c r="AN473" s="1"/>
      <c r="AO473" s="1"/>
      <c r="AP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4"/>
      <c r="AI474" s="4"/>
      <c r="AJ474" s="1"/>
      <c r="AK474" s="1"/>
      <c r="AL474" s="1"/>
      <c r="AM474" s="1"/>
      <c r="AN474" s="1"/>
      <c r="AO474" s="1"/>
      <c r="AP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4"/>
      <c r="AI475" s="4"/>
      <c r="AJ475" s="1"/>
      <c r="AK475" s="1"/>
      <c r="AL475" s="1"/>
      <c r="AM475" s="1"/>
      <c r="AN475" s="1"/>
      <c r="AO475" s="1"/>
      <c r="AP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4"/>
      <c r="AI476" s="4"/>
      <c r="AJ476" s="1"/>
      <c r="AK476" s="1"/>
      <c r="AL476" s="1"/>
      <c r="AM476" s="1"/>
      <c r="AN476" s="1"/>
      <c r="AO476" s="1"/>
      <c r="AP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4"/>
      <c r="AI477" s="4"/>
      <c r="AJ477" s="1"/>
      <c r="AK477" s="1"/>
      <c r="AL477" s="1"/>
      <c r="AM477" s="1"/>
      <c r="AN477" s="1"/>
      <c r="AO477" s="1"/>
      <c r="AP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4"/>
      <c r="AI478" s="4"/>
      <c r="AJ478" s="1"/>
      <c r="AK478" s="1"/>
      <c r="AL478" s="1"/>
      <c r="AM478" s="1"/>
      <c r="AN478" s="1"/>
      <c r="AO478" s="1"/>
      <c r="AP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4"/>
      <c r="AI479" s="4"/>
      <c r="AJ479" s="1"/>
      <c r="AK479" s="1"/>
      <c r="AL479" s="1"/>
      <c r="AM479" s="1"/>
      <c r="AN479" s="1"/>
      <c r="AO479" s="1"/>
      <c r="AP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4"/>
      <c r="AI480" s="4"/>
      <c r="AJ480" s="1"/>
      <c r="AK480" s="1"/>
      <c r="AL480" s="1"/>
      <c r="AM480" s="1"/>
      <c r="AN480" s="1"/>
      <c r="AO480" s="1"/>
      <c r="AP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4"/>
      <c r="AI481" s="4"/>
      <c r="AJ481" s="1"/>
      <c r="AK481" s="1"/>
      <c r="AL481" s="1"/>
      <c r="AM481" s="1"/>
      <c r="AN481" s="1"/>
      <c r="AO481" s="1"/>
      <c r="AP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4"/>
      <c r="AI482" s="4"/>
      <c r="AJ482" s="1"/>
      <c r="AK482" s="1"/>
      <c r="AL482" s="1"/>
      <c r="AM482" s="1"/>
      <c r="AN482" s="1"/>
      <c r="AO482" s="1"/>
      <c r="AP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4"/>
      <c r="AI483" s="4"/>
      <c r="AJ483" s="1"/>
      <c r="AK483" s="1"/>
      <c r="AL483" s="1"/>
      <c r="AM483" s="1"/>
      <c r="AN483" s="1"/>
      <c r="AO483" s="1"/>
      <c r="AP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4"/>
      <c r="AI484" s="4"/>
      <c r="AJ484" s="1"/>
      <c r="AK484" s="1"/>
      <c r="AL484" s="1"/>
      <c r="AM484" s="1"/>
      <c r="AN484" s="1"/>
      <c r="AO484" s="1"/>
      <c r="AP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4"/>
      <c r="AI485" s="4"/>
      <c r="AJ485" s="1"/>
      <c r="AK485" s="1"/>
      <c r="AL485" s="1"/>
      <c r="AM485" s="1"/>
      <c r="AN485" s="1"/>
      <c r="AO485" s="1"/>
      <c r="AP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4"/>
      <c r="AI486" s="4"/>
      <c r="AJ486" s="1"/>
      <c r="AK486" s="1"/>
      <c r="AL486" s="1"/>
      <c r="AM486" s="1"/>
      <c r="AN486" s="1"/>
      <c r="AO486" s="1"/>
      <c r="AP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4"/>
      <c r="AI487" s="4"/>
      <c r="AJ487" s="1"/>
      <c r="AK487" s="1"/>
      <c r="AL487" s="1"/>
      <c r="AM487" s="1"/>
      <c r="AN487" s="1"/>
      <c r="AO487" s="1"/>
      <c r="AP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4"/>
      <c r="AI488" s="4"/>
      <c r="AJ488" s="1"/>
      <c r="AK488" s="1"/>
      <c r="AL488" s="1"/>
      <c r="AM488" s="1"/>
      <c r="AN488" s="1"/>
      <c r="AO488" s="1"/>
      <c r="AP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4"/>
      <c r="AI489" s="4"/>
      <c r="AJ489" s="1"/>
      <c r="AK489" s="1"/>
      <c r="AL489" s="1"/>
      <c r="AM489" s="1"/>
      <c r="AN489" s="1"/>
      <c r="AO489" s="1"/>
      <c r="AP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4"/>
      <c r="AI490" s="4"/>
      <c r="AJ490" s="1"/>
      <c r="AK490" s="1"/>
      <c r="AL490" s="1"/>
      <c r="AM490" s="1"/>
      <c r="AN490" s="1"/>
      <c r="AO490" s="1"/>
      <c r="AP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4"/>
      <c r="AI491" s="4"/>
      <c r="AJ491" s="1"/>
      <c r="AK491" s="1"/>
      <c r="AL491" s="1"/>
      <c r="AM491" s="1"/>
      <c r="AN491" s="1"/>
      <c r="AO491" s="1"/>
      <c r="AP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4"/>
      <c r="AI492" s="4"/>
      <c r="AJ492" s="1"/>
      <c r="AK492" s="1"/>
      <c r="AL492" s="1"/>
      <c r="AM492" s="1"/>
      <c r="AN492" s="1"/>
      <c r="AO492" s="1"/>
      <c r="AP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4"/>
      <c r="AI493" s="4"/>
      <c r="AJ493" s="1"/>
      <c r="AK493" s="1"/>
      <c r="AL493" s="1"/>
      <c r="AM493" s="1"/>
      <c r="AN493" s="1"/>
      <c r="AO493" s="1"/>
      <c r="AP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4"/>
      <c r="AI494" s="4"/>
      <c r="AJ494" s="1"/>
      <c r="AK494" s="1"/>
      <c r="AL494" s="1"/>
      <c r="AM494" s="1"/>
      <c r="AN494" s="1"/>
      <c r="AO494" s="1"/>
      <c r="AP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4"/>
      <c r="AI495" s="4"/>
      <c r="AJ495" s="1"/>
      <c r="AK495" s="1"/>
      <c r="AL495" s="1"/>
      <c r="AM495" s="1"/>
      <c r="AN495" s="1"/>
      <c r="AO495" s="1"/>
      <c r="AP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4"/>
      <c r="AI496" s="4"/>
      <c r="AJ496" s="1"/>
      <c r="AK496" s="1"/>
      <c r="AL496" s="1"/>
      <c r="AM496" s="1"/>
      <c r="AN496" s="1"/>
      <c r="AO496" s="1"/>
      <c r="AP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4"/>
      <c r="AI497" s="4"/>
      <c r="AJ497" s="1"/>
      <c r="AK497" s="1"/>
      <c r="AL497" s="1"/>
      <c r="AM497" s="1"/>
      <c r="AN497" s="1"/>
      <c r="AO497" s="1"/>
      <c r="AP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4"/>
      <c r="AI498" s="4"/>
      <c r="AJ498" s="1"/>
      <c r="AK498" s="1"/>
      <c r="AL498" s="1"/>
      <c r="AM498" s="1"/>
      <c r="AN498" s="1"/>
      <c r="AO498" s="1"/>
      <c r="AP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4"/>
      <c r="AI499" s="4"/>
      <c r="AJ499" s="1"/>
      <c r="AK499" s="1"/>
      <c r="AL499" s="1"/>
      <c r="AM499" s="1"/>
      <c r="AN499" s="1"/>
      <c r="AO499" s="1"/>
      <c r="AP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4"/>
      <c r="AI500" s="4"/>
      <c r="AJ500" s="1"/>
      <c r="AK500" s="1"/>
      <c r="AL500" s="1"/>
      <c r="AM500" s="1"/>
      <c r="AN500" s="1"/>
      <c r="AO500" s="1"/>
      <c r="AP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4"/>
      <c r="AI501" s="4"/>
      <c r="AJ501" s="1"/>
      <c r="AK501" s="1"/>
      <c r="AL501" s="1"/>
      <c r="AM501" s="1"/>
      <c r="AN501" s="1"/>
      <c r="AO501" s="1"/>
      <c r="AP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4"/>
      <c r="AI502" s="4"/>
      <c r="AJ502" s="1"/>
      <c r="AK502" s="1"/>
      <c r="AL502" s="1"/>
      <c r="AM502" s="1"/>
      <c r="AN502" s="1"/>
      <c r="AO502" s="1"/>
      <c r="AP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4"/>
      <c r="AI503" s="4"/>
      <c r="AJ503" s="1"/>
      <c r="AK503" s="1"/>
      <c r="AL503" s="1"/>
      <c r="AM503" s="1"/>
      <c r="AN503" s="1"/>
      <c r="AO503" s="1"/>
      <c r="AP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4"/>
      <c r="AI504" s="4"/>
      <c r="AJ504" s="1"/>
      <c r="AK504" s="1"/>
      <c r="AL504" s="1"/>
      <c r="AM504" s="1"/>
      <c r="AN504" s="1"/>
      <c r="AO504" s="1"/>
      <c r="AP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4"/>
      <c r="AI505" s="4"/>
      <c r="AJ505" s="1"/>
      <c r="AK505" s="1"/>
      <c r="AL505" s="1"/>
      <c r="AM505" s="1"/>
      <c r="AN505" s="1"/>
      <c r="AO505" s="1"/>
      <c r="AP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4"/>
      <c r="AI506" s="4"/>
      <c r="AJ506" s="1"/>
      <c r="AK506" s="1"/>
      <c r="AL506" s="1"/>
      <c r="AM506" s="1"/>
      <c r="AN506" s="1"/>
      <c r="AO506" s="1"/>
      <c r="AP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4"/>
      <c r="AI507" s="4"/>
      <c r="AJ507" s="1"/>
      <c r="AK507" s="1"/>
      <c r="AL507" s="1"/>
      <c r="AM507" s="1"/>
      <c r="AN507" s="1"/>
      <c r="AO507" s="1"/>
      <c r="AP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4"/>
      <c r="AI508" s="4"/>
      <c r="AJ508" s="1"/>
      <c r="AK508" s="1"/>
      <c r="AL508" s="1"/>
      <c r="AM508" s="1"/>
      <c r="AN508" s="1"/>
      <c r="AO508" s="1"/>
      <c r="AP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4"/>
      <c r="AI509" s="4"/>
      <c r="AJ509" s="1"/>
      <c r="AK509" s="1"/>
      <c r="AL509" s="1"/>
      <c r="AM509" s="1"/>
      <c r="AN509" s="1"/>
      <c r="AO509" s="1"/>
      <c r="AP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4"/>
      <c r="AI510" s="4"/>
      <c r="AJ510" s="1"/>
      <c r="AK510" s="1"/>
      <c r="AL510" s="1"/>
      <c r="AM510" s="1"/>
      <c r="AN510" s="1"/>
      <c r="AO510" s="1"/>
      <c r="AP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4"/>
      <c r="AI511" s="4"/>
      <c r="AJ511" s="1"/>
      <c r="AK511" s="1"/>
      <c r="AL511" s="1"/>
      <c r="AM511" s="1"/>
      <c r="AN511" s="1"/>
      <c r="AO511" s="1"/>
      <c r="AP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4"/>
      <c r="AI512" s="4"/>
      <c r="AJ512" s="1"/>
      <c r="AK512" s="1"/>
      <c r="AL512" s="1"/>
      <c r="AM512" s="1"/>
      <c r="AN512" s="1"/>
      <c r="AO512" s="1"/>
      <c r="AP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4"/>
      <c r="AI513" s="4"/>
      <c r="AJ513" s="1"/>
      <c r="AK513" s="1"/>
      <c r="AL513" s="1"/>
      <c r="AM513" s="1"/>
      <c r="AN513" s="1"/>
      <c r="AO513" s="1"/>
      <c r="AP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4"/>
      <c r="AI514" s="4"/>
      <c r="AJ514" s="1"/>
      <c r="AK514" s="1"/>
      <c r="AL514" s="1"/>
      <c r="AM514" s="1"/>
      <c r="AN514" s="1"/>
      <c r="AO514" s="1"/>
      <c r="AP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4"/>
      <c r="AI515" s="4"/>
      <c r="AJ515" s="1"/>
      <c r="AK515" s="1"/>
      <c r="AL515" s="1"/>
      <c r="AM515" s="1"/>
      <c r="AN515" s="1"/>
      <c r="AO515" s="1"/>
      <c r="AP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4"/>
      <c r="AI516" s="4"/>
      <c r="AJ516" s="1"/>
      <c r="AK516" s="1"/>
      <c r="AL516" s="1"/>
      <c r="AM516" s="1"/>
      <c r="AN516" s="1"/>
      <c r="AO516" s="1"/>
      <c r="AP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4"/>
      <c r="AI517" s="4"/>
      <c r="AJ517" s="1"/>
      <c r="AK517" s="1"/>
      <c r="AL517" s="1"/>
      <c r="AM517" s="1"/>
      <c r="AN517" s="1"/>
      <c r="AO517" s="1"/>
      <c r="AP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4"/>
      <c r="AI518" s="4"/>
      <c r="AJ518" s="1"/>
      <c r="AK518" s="1"/>
      <c r="AL518" s="1"/>
      <c r="AM518" s="1"/>
      <c r="AN518" s="1"/>
      <c r="AO518" s="1"/>
      <c r="AP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4"/>
      <c r="AI519" s="4"/>
      <c r="AJ519" s="1"/>
      <c r="AK519" s="1"/>
      <c r="AL519" s="1"/>
      <c r="AM519" s="1"/>
      <c r="AN519" s="1"/>
      <c r="AO519" s="1"/>
      <c r="AP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4"/>
      <c r="AI520" s="4"/>
      <c r="AJ520" s="1"/>
      <c r="AK520" s="1"/>
      <c r="AL520" s="1"/>
      <c r="AM520" s="1"/>
      <c r="AN520" s="1"/>
      <c r="AO520" s="1"/>
      <c r="AP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4"/>
      <c r="AI521" s="4"/>
      <c r="AJ521" s="1"/>
      <c r="AK521" s="1"/>
      <c r="AL521" s="1"/>
      <c r="AM521" s="1"/>
      <c r="AN521" s="1"/>
      <c r="AO521" s="1"/>
      <c r="AP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4"/>
      <c r="AI522" s="4"/>
      <c r="AJ522" s="1"/>
      <c r="AK522" s="1"/>
      <c r="AL522" s="1"/>
      <c r="AM522" s="1"/>
      <c r="AN522" s="1"/>
      <c r="AO522" s="1"/>
      <c r="AP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4"/>
      <c r="AI523" s="4"/>
      <c r="AJ523" s="1"/>
      <c r="AK523" s="1"/>
      <c r="AL523" s="1"/>
      <c r="AM523" s="1"/>
      <c r="AN523" s="1"/>
      <c r="AO523" s="1"/>
      <c r="AP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4"/>
      <c r="AI524" s="4"/>
      <c r="AJ524" s="1"/>
      <c r="AK524" s="1"/>
      <c r="AL524" s="1"/>
      <c r="AM524" s="1"/>
      <c r="AN524" s="1"/>
      <c r="AO524" s="1"/>
      <c r="AP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4"/>
      <c r="AI525" s="4"/>
      <c r="AJ525" s="1"/>
      <c r="AK525" s="1"/>
      <c r="AL525" s="1"/>
      <c r="AM525" s="1"/>
      <c r="AN525" s="1"/>
      <c r="AO525" s="1"/>
      <c r="AP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4"/>
      <c r="AI526" s="4"/>
      <c r="AJ526" s="1"/>
      <c r="AK526" s="1"/>
      <c r="AL526" s="1"/>
      <c r="AM526" s="1"/>
      <c r="AN526" s="1"/>
      <c r="AO526" s="1"/>
      <c r="AP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4"/>
      <c r="AI527" s="4"/>
      <c r="AJ527" s="1"/>
      <c r="AK527" s="1"/>
      <c r="AL527" s="1"/>
      <c r="AM527" s="1"/>
      <c r="AN527" s="1"/>
      <c r="AO527" s="1"/>
      <c r="AP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4"/>
      <c r="AI528" s="4"/>
      <c r="AJ528" s="1"/>
      <c r="AK528" s="1"/>
      <c r="AL528" s="1"/>
      <c r="AM528" s="1"/>
      <c r="AN528" s="1"/>
      <c r="AO528" s="1"/>
      <c r="AP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4"/>
      <c r="AI529" s="4"/>
      <c r="AJ529" s="1"/>
      <c r="AK529" s="1"/>
      <c r="AL529" s="1"/>
      <c r="AM529" s="1"/>
      <c r="AN529" s="1"/>
      <c r="AO529" s="1"/>
      <c r="AP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4"/>
      <c r="AI530" s="4"/>
      <c r="AJ530" s="1"/>
      <c r="AK530" s="1"/>
      <c r="AL530" s="1"/>
      <c r="AM530" s="1"/>
      <c r="AN530" s="1"/>
      <c r="AO530" s="1"/>
      <c r="AP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4"/>
      <c r="AI531" s="4"/>
      <c r="AJ531" s="1"/>
      <c r="AK531" s="1"/>
      <c r="AL531" s="1"/>
      <c r="AM531" s="1"/>
      <c r="AN531" s="1"/>
      <c r="AO531" s="1"/>
      <c r="AP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4"/>
      <c r="AI532" s="4"/>
      <c r="AJ532" s="1"/>
      <c r="AK532" s="1"/>
      <c r="AL532" s="1"/>
      <c r="AM532" s="1"/>
      <c r="AN532" s="1"/>
      <c r="AO532" s="1"/>
      <c r="AP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4"/>
      <c r="AI533" s="4"/>
      <c r="AJ533" s="1"/>
      <c r="AK533" s="1"/>
      <c r="AL533" s="1"/>
      <c r="AM533" s="1"/>
      <c r="AN533" s="1"/>
      <c r="AO533" s="1"/>
      <c r="AP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4"/>
      <c r="AI534" s="4"/>
      <c r="AJ534" s="1"/>
      <c r="AK534" s="1"/>
      <c r="AL534" s="1"/>
      <c r="AM534" s="1"/>
      <c r="AN534" s="1"/>
      <c r="AO534" s="1"/>
      <c r="AP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4"/>
      <c r="AI535" s="4"/>
      <c r="AJ535" s="1"/>
      <c r="AK535" s="1"/>
      <c r="AL535" s="1"/>
      <c r="AM535" s="1"/>
      <c r="AN535" s="1"/>
      <c r="AO535" s="1"/>
      <c r="AP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4"/>
      <c r="AI536" s="4"/>
      <c r="AJ536" s="1"/>
      <c r="AK536" s="1"/>
      <c r="AL536" s="1"/>
      <c r="AM536" s="1"/>
      <c r="AN536" s="1"/>
      <c r="AO536" s="1"/>
      <c r="AP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4"/>
      <c r="AI537" s="4"/>
      <c r="AJ537" s="1"/>
      <c r="AK537" s="1"/>
      <c r="AL537" s="1"/>
      <c r="AM537" s="1"/>
      <c r="AN537" s="1"/>
      <c r="AO537" s="1"/>
      <c r="AP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4"/>
      <c r="AI538" s="4"/>
      <c r="AJ538" s="1"/>
      <c r="AK538" s="1"/>
      <c r="AL538" s="1"/>
      <c r="AM538" s="1"/>
      <c r="AN538" s="1"/>
      <c r="AO538" s="1"/>
      <c r="AP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4"/>
      <c r="AI539" s="4"/>
      <c r="AJ539" s="1"/>
      <c r="AK539" s="1"/>
      <c r="AL539" s="1"/>
      <c r="AM539" s="1"/>
      <c r="AN539" s="1"/>
      <c r="AO539" s="1"/>
      <c r="AP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4"/>
      <c r="AI540" s="4"/>
      <c r="AJ540" s="1"/>
      <c r="AK540" s="1"/>
      <c r="AL540" s="1"/>
      <c r="AM540" s="1"/>
      <c r="AN540" s="1"/>
      <c r="AO540" s="1"/>
      <c r="AP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4"/>
      <c r="AI541" s="4"/>
      <c r="AJ541" s="1"/>
      <c r="AK541" s="1"/>
      <c r="AL541" s="1"/>
      <c r="AM541" s="1"/>
      <c r="AN541" s="1"/>
      <c r="AO541" s="1"/>
      <c r="AP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4"/>
      <c r="AI542" s="4"/>
      <c r="AJ542" s="1"/>
      <c r="AK542" s="1"/>
      <c r="AL542" s="1"/>
      <c r="AM542" s="1"/>
      <c r="AN542" s="1"/>
      <c r="AO542" s="1"/>
      <c r="AP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4"/>
      <c r="AI543" s="4"/>
      <c r="AJ543" s="1"/>
      <c r="AK543" s="1"/>
      <c r="AL543" s="1"/>
      <c r="AM543" s="1"/>
      <c r="AN543" s="1"/>
      <c r="AO543" s="1"/>
      <c r="AP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4"/>
      <c r="AI544" s="4"/>
      <c r="AJ544" s="1"/>
      <c r="AK544" s="1"/>
      <c r="AL544" s="1"/>
      <c r="AM544" s="1"/>
      <c r="AN544" s="1"/>
      <c r="AO544" s="1"/>
      <c r="AP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4"/>
      <c r="AI545" s="4"/>
      <c r="AJ545" s="1"/>
      <c r="AK545" s="1"/>
      <c r="AL545" s="1"/>
      <c r="AM545" s="1"/>
      <c r="AN545" s="1"/>
      <c r="AO545" s="1"/>
      <c r="AP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4"/>
      <c r="AI546" s="4"/>
      <c r="AJ546" s="1"/>
      <c r="AK546" s="1"/>
      <c r="AL546" s="1"/>
      <c r="AM546" s="1"/>
      <c r="AN546" s="1"/>
      <c r="AO546" s="1"/>
      <c r="AP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4"/>
      <c r="AI547" s="4"/>
      <c r="AJ547" s="1"/>
      <c r="AK547" s="1"/>
      <c r="AL547" s="1"/>
      <c r="AM547" s="1"/>
      <c r="AN547" s="1"/>
      <c r="AO547" s="1"/>
      <c r="AP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4"/>
      <c r="AI548" s="4"/>
      <c r="AJ548" s="1"/>
      <c r="AK548" s="1"/>
      <c r="AL548" s="1"/>
      <c r="AM548" s="1"/>
      <c r="AN548" s="1"/>
      <c r="AO548" s="1"/>
      <c r="AP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4"/>
      <c r="AI549" s="4"/>
      <c r="AJ549" s="1"/>
      <c r="AK549" s="1"/>
      <c r="AL549" s="1"/>
      <c r="AM549" s="1"/>
      <c r="AN549" s="1"/>
      <c r="AO549" s="1"/>
      <c r="AP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4"/>
      <c r="AI550" s="4"/>
      <c r="AJ550" s="1"/>
      <c r="AK550" s="1"/>
      <c r="AL550" s="1"/>
      <c r="AM550" s="1"/>
      <c r="AN550" s="1"/>
      <c r="AO550" s="1"/>
      <c r="AP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4"/>
      <c r="AI551" s="4"/>
      <c r="AJ551" s="1"/>
      <c r="AK551" s="1"/>
      <c r="AL551" s="1"/>
      <c r="AM551" s="1"/>
      <c r="AN551" s="1"/>
      <c r="AO551" s="1"/>
      <c r="AP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4"/>
      <c r="AI552" s="4"/>
      <c r="AJ552" s="1"/>
      <c r="AK552" s="1"/>
      <c r="AL552" s="1"/>
      <c r="AM552" s="1"/>
      <c r="AN552" s="1"/>
      <c r="AO552" s="1"/>
      <c r="AP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4"/>
      <c r="AI553" s="4"/>
      <c r="AJ553" s="1"/>
      <c r="AK553" s="1"/>
      <c r="AL553" s="1"/>
      <c r="AM553" s="1"/>
      <c r="AN553" s="1"/>
      <c r="AO553" s="1"/>
      <c r="AP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4"/>
      <c r="AI554" s="4"/>
      <c r="AJ554" s="1"/>
      <c r="AK554" s="1"/>
      <c r="AL554" s="1"/>
      <c r="AM554" s="1"/>
      <c r="AN554" s="1"/>
      <c r="AO554" s="1"/>
      <c r="AP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4"/>
      <c r="AI555" s="4"/>
      <c r="AJ555" s="1"/>
      <c r="AK555" s="1"/>
      <c r="AL555" s="1"/>
      <c r="AM555" s="1"/>
      <c r="AN555" s="1"/>
      <c r="AO555" s="1"/>
      <c r="AP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4"/>
      <c r="AI556" s="4"/>
      <c r="AJ556" s="1"/>
      <c r="AK556" s="1"/>
      <c r="AL556" s="1"/>
      <c r="AM556" s="1"/>
      <c r="AN556" s="1"/>
      <c r="AO556" s="1"/>
      <c r="AP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4"/>
      <c r="AI557" s="4"/>
      <c r="AJ557" s="1"/>
      <c r="AK557" s="1"/>
      <c r="AL557" s="1"/>
      <c r="AM557" s="1"/>
      <c r="AN557" s="1"/>
      <c r="AO557" s="1"/>
      <c r="AP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4"/>
      <c r="AI558" s="4"/>
      <c r="AJ558" s="1"/>
      <c r="AK558" s="1"/>
      <c r="AL558" s="1"/>
      <c r="AM558" s="1"/>
      <c r="AN558" s="1"/>
      <c r="AO558" s="1"/>
      <c r="AP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4"/>
      <c r="AI559" s="4"/>
      <c r="AJ559" s="1"/>
      <c r="AK559" s="1"/>
      <c r="AL559" s="1"/>
      <c r="AM559" s="1"/>
      <c r="AN559" s="1"/>
      <c r="AO559" s="1"/>
      <c r="AP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4"/>
      <c r="AI560" s="4"/>
      <c r="AJ560" s="1"/>
      <c r="AK560" s="1"/>
      <c r="AL560" s="1"/>
      <c r="AM560" s="1"/>
      <c r="AN560" s="1"/>
      <c r="AO560" s="1"/>
      <c r="AP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4"/>
      <c r="AI561" s="4"/>
      <c r="AJ561" s="1"/>
      <c r="AK561" s="1"/>
      <c r="AL561" s="1"/>
      <c r="AM561" s="1"/>
      <c r="AN561" s="1"/>
      <c r="AO561" s="1"/>
      <c r="AP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4"/>
      <c r="AI562" s="4"/>
      <c r="AJ562" s="1"/>
      <c r="AK562" s="1"/>
      <c r="AL562" s="1"/>
      <c r="AM562" s="1"/>
      <c r="AN562" s="1"/>
      <c r="AO562" s="1"/>
      <c r="AP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4"/>
      <c r="AI563" s="4"/>
      <c r="AJ563" s="1"/>
      <c r="AK563" s="1"/>
      <c r="AL563" s="1"/>
      <c r="AM563" s="1"/>
      <c r="AN563" s="1"/>
      <c r="AO563" s="1"/>
      <c r="AP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4"/>
      <c r="AI564" s="4"/>
      <c r="AJ564" s="1"/>
      <c r="AK564" s="1"/>
      <c r="AL564" s="1"/>
      <c r="AM564" s="1"/>
      <c r="AN564" s="1"/>
      <c r="AO564" s="1"/>
      <c r="AP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4"/>
      <c r="AI565" s="4"/>
      <c r="AJ565" s="1"/>
      <c r="AK565" s="1"/>
      <c r="AL565" s="1"/>
      <c r="AM565" s="1"/>
      <c r="AN565" s="1"/>
      <c r="AO565" s="1"/>
      <c r="AP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4"/>
      <c r="AI566" s="4"/>
      <c r="AJ566" s="1"/>
      <c r="AK566" s="1"/>
      <c r="AL566" s="1"/>
      <c r="AM566" s="1"/>
      <c r="AN566" s="1"/>
      <c r="AO566" s="1"/>
      <c r="AP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4"/>
      <c r="AI567" s="4"/>
      <c r="AJ567" s="1"/>
      <c r="AK567" s="1"/>
      <c r="AL567" s="1"/>
      <c r="AM567" s="1"/>
      <c r="AN567" s="1"/>
      <c r="AO567" s="1"/>
      <c r="AP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4"/>
      <c r="AI568" s="4"/>
      <c r="AJ568" s="1"/>
      <c r="AK568" s="1"/>
      <c r="AL568" s="1"/>
      <c r="AM568" s="1"/>
      <c r="AN568" s="1"/>
      <c r="AO568" s="1"/>
      <c r="AP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4"/>
      <c r="AI569" s="4"/>
      <c r="AJ569" s="1"/>
      <c r="AK569" s="1"/>
      <c r="AL569" s="1"/>
      <c r="AM569" s="1"/>
      <c r="AN569" s="1"/>
      <c r="AO569" s="1"/>
      <c r="AP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4"/>
      <c r="AI570" s="4"/>
      <c r="AJ570" s="1"/>
      <c r="AK570" s="1"/>
      <c r="AL570" s="1"/>
      <c r="AM570" s="1"/>
      <c r="AN570" s="1"/>
      <c r="AO570" s="1"/>
      <c r="AP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4"/>
      <c r="AI571" s="4"/>
      <c r="AJ571" s="1"/>
      <c r="AK571" s="1"/>
      <c r="AL571" s="1"/>
      <c r="AM571" s="1"/>
      <c r="AN571" s="1"/>
      <c r="AO571" s="1"/>
      <c r="AP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4"/>
      <c r="AI572" s="4"/>
      <c r="AJ572" s="1"/>
      <c r="AK572" s="1"/>
      <c r="AL572" s="1"/>
      <c r="AM572" s="1"/>
      <c r="AN572" s="1"/>
      <c r="AO572" s="1"/>
      <c r="AP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4"/>
      <c r="AI573" s="4"/>
      <c r="AJ573" s="1"/>
      <c r="AK573" s="1"/>
      <c r="AL573" s="1"/>
      <c r="AM573" s="1"/>
      <c r="AN573" s="1"/>
      <c r="AO573" s="1"/>
      <c r="AP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4"/>
      <c r="AI574" s="4"/>
      <c r="AJ574" s="1"/>
      <c r="AK574" s="1"/>
      <c r="AL574" s="1"/>
      <c r="AM574" s="1"/>
      <c r="AN574" s="1"/>
      <c r="AO574" s="1"/>
      <c r="AP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4"/>
      <c r="AI575" s="4"/>
      <c r="AJ575" s="1"/>
      <c r="AK575" s="1"/>
      <c r="AL575" s="1"/>
      <c r="AM575" s="1"/>
      <c r="AN575" s="1"/>
      <c r="AO575" s="1"/>
      <c r="AP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4"/>
      <c r="AI576" s="4"/>
      <c r="AJ576" s="1"/>
      <c r="AK576" s="1"/>
      <c r="AL576" s="1"/>
      <c r="AM576" s="1"/>
      <c r="AN576" s="1"/>
      <c r="AO576" s="1"/>
      <c r="AP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4"/>
      <c r="AI577" s="4"/>
      <c r="AJ577" s="1"/>
      <c r="AK577" s="1"/>
      <c r="AL577" s="1"/>
      <c r="AM577" s="1"/>
      <c r="AN577" s="1"/>
      <c r="AO577" s="1"/>
      <c r="AP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4"/>
      <c r="AI578" s="4"/>
      <c r="AJ578" s="1"/>
      <c r="AK578" s="1"/>
      <c r="AL578" s="1"/>
      <c r="AM578" s="1"/>
      <c r="AN578" s="1"/>
      <c r="AO578" s="1"/>
      <c r="AP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4"/>
      <c r="AI579" s="4"/>
      <c r="AJ579" s="1"/>
      <c r="AK579" s="1"/>
      <c r="AL579" s="1"/>
      <c r="AM579" s="1"/>
      <c r="AN579" s="1"/>
      <c r="AO579" s="1"/>
      <c r="AP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4"/>
      <c r="AI580" s="4"/>
      <c r="AJ580" s="1"/>
      <c r="AK580" s="1"/>
      <c r="AL580" s="1"/>
      <c r="AM580" s="1"/>
      <c r="AN580" s="1"/>
      <c r="AO580" s="1"/>
      <c r="AP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4"/>
      <c r="AI581" s="4"/>
      <c r="AJ581" s="1"/>
      <c r="AK581" s="1"/>
      <c r="AL581" s="1"/>
      <c r="AM581" s="1"/>
      <c r="AN581" s="1"/>
      <c r="AO581" s="1"/>
      <c r="AP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4"/>
      <c r="AI582" s="4"/>
      <c r="AJ582" s="1"/>
      <c r="AK582" s="1"/>
      <c r="AL582" s="1"/>
      <c r="AM582" s="1"/>
      <c r="AN582" s="1"/>
      <c r="AO582" s="1"/>
      <c r="AP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4"/>
      <c r="AI583" s="4"/>
      <c r="AJ583" s="1"/>
      <c r="AK583" s="1"/>
      <c r="AL583" s="1"/>
      <c r="AM583" s="1"/>
      <c r="AN583" s="1"/>
      <c r="AO583" s="1"/>
      <c r="AP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4"/>
      <c r="AI584" s="4"/>
      <c r="AJ584" s="1"/>
      <c r="AK584" s="1"/>
      <c r="AL584" s="1"/>
      <c r="AM584" s="1"/>
      <c r="AN584" s="1"/>
      <c r="AO584" s="1"/>
      <c r="AP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4"/>
      <c r="AI585" s="4"/>
      <c r="AJ585" s="1"/>
      <c r="AK585" s="1"/>
      <c r="AL585" s="1"/>
      <c r="AM585" s="1"/>
      <c r="AN585" s="1"/>
      <c r="AO585" s="1"/>
      <c r="AP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4"/>
      <c r="AI586" s="4"/>
      <c r="AJ586" s="1"/>
      <c r="AK586" s="1"/>
      <c r="AL586" s="1"/>
      <c r="AM586" s="1"/>
      <c r="AN586" s="1"/>
      <c r="AO586" s="1"/>
      <c r="AP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4"/>
      <c r="AI587" s="4"/>
      <c r="AJ587" s="1"/>
      <c r="AK587" s="1"/>
      <c r="AL587" s="1"/>
      <c r="AM587" s="1"/>
      <c r="AN587" s="1"/>
      <c r="AO587" s="1"/>
      <c r="AP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4"/>
      <c r="AI588" s="4"/>
      <c r="AJ588" s="1"/>
      <c r="AK588" s="1"/>
      <c r="AL588" s="1"/>
      <c r="AM588" s="1"/>
      <c r="AN588" s="1"/>
      <c r="AO588" s="1"/>
      <c r="AP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4"/>
      <c r="AI589" s="4"/>
      <c r="AJ589" s="1"/>
      <c r="AK589" s="1"/>
      <c r="AL589" s="1"/>
      <c r="AM589" s="1"/>
      <c r="AN589" s="1"/>
      <c r="AO589" s="1"/>
      <c r="AP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4"/>
      <c r="AI590" s="4"/>
      <c r="AJ590" s="1"/>
      <c r="AK590" s="1"/>
      <c r="AL590" s="1"/>
      <c r="AM590" s="1"/>
      <c r="AN590" s="1"/>
      <c r="AO590" s="1"/>
      <c r="AP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4"/>
      <c r="AI591" s="4"/>
      <c r="AJ591" s="1"/>
      <c r="AK591" s="1"/>
      <c r="AL591" s="1"/>
      <c r="AM591" s="1"/>
      <c r="AN591" s="1"/>
      <c r="AO591" s="1"/>
      <c r="AP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4"/>
      <c r="AI592" s="4"/>
      <c r="AJ592" s="1"/>
      <c r="AK592" s="1"/>
      <c r="AL592" s="1"/>
      <c r="AM592" s="1"/>
      <c r="AN592" s="1"/>
      <c r="AO592" s="1"/>
      <c r="AP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4"/>
      <c r="AI593" s="4"/>
      <c r="AJ593" s="1"/>
      <c r="AK593" s="1"/>
      <c r="AL593" s="1"/>
      <c r="AM593" s="1"/>
      <c r="AN593" s="1"/>
      <c r="AO593" s="1"/>
      <c r="AP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4"/>
      <c r="AI594" s="4"/>
      <c r="AJ594" s="1"/>
      <c r="AK594" s="1"/>
      <c r="AL594" s="1"/>
      <c r="AM594" s="1"/>
      <c r="AN594" s="1"/>
      <c r="AO594" s="1"/>
      <c r="AP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4"/>
      <c r="AI595" s="4"/>
      <c r="AJ595" s="1"/>
      <c r="AK595" s="1"/>
      <c r="AL595" s="1"/>
      <c r="AM595" s="1"/>
      <c r="AN595" s="1"/>
      <c r="AO595" s="1"/>
      <c r="AP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4"/>
      <c r="AI596" s="4"/>
      <c r="AJ596" s="1"/>
      <c r="AK596" s="1"/>
      <c r="AL596" s="1"/>
      <c r="AM596" s="1"/>
      <c r="AN596" s="1"/>
      <c r="AO596" s="1"/>
      <c r="AP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4"/>
      <c r="AI597" s="4"/>
      <c r="AJ597" s="1"/>
      <c r="AK597" s="1"/>
      <c r="AL597" s="1"/>
      <c r="AM597" s="1"/>
      <c r="AN597" s="1"/>
      <c r="AO597" s="1"/>
      <c r="AP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4"/>
      <c r="AI598" s="4"/>
      <c r="AJ598" s="1"/>
      <c r="AK598" s="1"/>
      <c r="AL598" s="1"/>
      <c r="AM598" s="1"/>
      <c r="AN598" s="1"/>
      <c r="AO598" s="1"/>
      <c r="AP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4"/>
      <c r="AI599" s="4"/>
      <c r="AJ599" s="1"/>
      <c r="AK599" s="1"/>
      <c r="AL599" s="1"/>
      <c r="AM599" s="1"/>
      <c r="AN599" s="1"/>
      <c r="AO599" s="1"/>
      <c r="AP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4"/>
      <c r="AI600" s="4"/>
      <c r="AJ600" s="1"/>
      <c r="AK600" s="1"/>
      <c r="AL600" s="1"/>
      <c r="AM600" s="1"/>
      <c r="AN600" s="1"/>
      <c r="AO600" s="1"/>
      <c r="AP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4"/>
      <c r="AI601" s="4"/>
      <c r="AJ601" s="1"/>
      <c r="AK601" s="1"/>
      <c r="AL601" s="1"/>
      <c r="AM601" s="1"/>
      <c r="AN601" s="1"/>
      <c r="AO601" s="1"/>
      <c r="AP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4"/>
      <c r="AI602" s="4"/>
      <c r="AJ602" s="1"/>
      <c r="AK602" s="1"/>
      <c r="AL602" s="1"/>
      <c r="AM602" s="1"/>
      <c r="AN602" s="1"/>
      <c r="AO602" s="1"/>
      <c r="AP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4"/>
      <c r="AI603" s="4"/>
      <c r="AJ603" s="1"/>
      <c r="AK603" s="1"/>
      <c r="AL603" s="1"/>
      <c r="AM603" s="1"/>
      <c r="AN603" s="1"/>
      <c r="AO603" s="1"/>
      <c r="AP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4"/>
      <c r="AI604" s="4"/>
      <c r="AJ604" s="1"/>
      <c r="AK604" s="1"/>
      <c r="AL604" s="1"/>
      <c r="AM604" s="1"/>
      <c r="AN604" s="1"/>
      <c r="AO604" s="1"/>
      <c r="AP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4"/>
      <c r="AI605" s="4"/>
      <c r="AJ605" s="1"/>
      <c r="AK605" s="1"/>
      <c r="AL605" s="1"/>
      <c r="AM605" s="1"/>
      <c r="AN605" s="1"/>
      <c r="AO605" s="1"/>
      <c r="AP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4"/>
      <c r="AI606" s="4"/>
      <c r="AJ606" s="1"/>
      <c r="AK606" s="1"/>
      <c r="AL606" s="1"/>
      <c r="AM606" s="1"/>
      <c r="AN606" s="1"/>
      <c r="AO606" s="1"/>
      <c r="AP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4"/>
      <c r="AI607" s="4"/>
      <c r="AJ607" s="1"/>
      <c r="AK607" s="1"/>
      <c r="AL607" s="1"/>
      <c r="AM607" s="1"/>
      <c r="AN607" s="1"/>
      <c r="AO607" s="1"/>
      <c r="AP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4"/>
      <c r="AI608" s="4"/>
      <c r="AJ608" s="1"/>
      <c r="AK608" s="1"/>
      <c r="AL608" s="1"/>
      <c r="AM608" s="1"/>
      <c r="AN608" s="1"/>
      <c r="AO608" s="1"/>
      <c r="AP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4"/>
      <c r="AI609" s="4"/>
      <c r="AJ609" s="1"/>
      <c r="AK609" s="1"/>
      <c r="AL609" s="1"/>
      <c r="AM609" s="1"/>
      <c r="AN609" s="1"/>
      <c r="AO609" s="1"/>
      <c r="AP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4"/>
      <c r="AI610" s="4"/>
      <c r="AJ610" s="1"/>
      <c r="AK610" s="1"/>
      <c r="AL610" s="1"/>
      <c r="AM610" s="1"/>
      <c r="AN610" s="1"/>
      <c r="AO610" s="1"/>
      <c r="AP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4"/>
      <c r="AI611" s="4"/>
      <c r="AJ611" s="1"/>
      <c r="AK611" s="1"/>
      <c r="AL611" s="1"/>
      <c r="AM611" s="1"/>
      <c r="AN611" s="1"/>
      <c r="AO611" s="1"/>
      <c r="AP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4"/>
      <c r="AI612" s="4"/>
      <c r="AJ612" s="1"/>
      <c r="AK612" s="1"/>
      <c r="AL612" s="1"/>
      <c r="AM612" s="1"/>
      <c r="AN612" s="1"/>
      <c r="AO612" s="1"/>
      <c r="AP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4"/>
      <c r="AI613" s="4"/>
      <c r="AJ613" s="1"/>
      <c r="AK613" s="1"/>
      <c r="AL613" s="1"/>
      <c r="AM613" s="1"/>
      <c r="AN613" s="1"/>
      <c r="AO613" s="1"/>
      <c r="AP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4"/>
      <c r="AI614" s="4"/>
      <c r="AJ614" s="1"/>
      <c r="AK614" s="1"/>
      <c r="AL614" s="1"/>
      <c r="AM614" s="1"/>
      <c r="AN614" s="1"/>
      <c r="AO614" s="1"/>
      <c r="AP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4"/>
      <c r="AI615" s="4"/>
      <c r="AJ615" s="1"/>
      <c r="AK615" s="1"/>
      <c r="AL615" s="1"/>
      <c r="AM615" s="1"/>
      <c r="AN615" s="1"/>
      <c r="AO615" s="1"/>
      <c r="AP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4"/>
      <c r="AI616" s="4"/>
      <c r="AJ616" s="1"/>
      <c r="AK616" s="1"/>
      <c r="AL616" s="1"/>
      <c r="AM616" s="1"/>
      <c r="AN616" s="1"/>
      <c r="AO616" s="1"/>
      <c r="AP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4"/>
      <c r="AI617" s="4"/>
      <c r="AJ617" s="1"/>
      <c r="AK617" s="1"/>
      <c r="AL617" s="1"/>
      <c r="AM617" s="1"/>
      <c r="AN617" s="1"/>
      <c r="AO617" s="1"/>
      <c r="AP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4"/>
      <c r="AI618" s="4"/>
      <c r="AJ618" s="1"/>
      <c r="AK618" s="1"/>
      <c r="AL618" s="1"/>
      <c r="AM618" s="1"/>
      <c r="AN618" s="1"/>
      <c r="AO618" s="1"/>
      <c r="AP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4"/>
      <c r="AI619" s="4"/>
      <c r="AJ619" s="1"/>
      <c r="AK619" s="1"/>
      <c r="AL619" s="1"/>
      <c r="AM619" s="1"/>
      <c r="AN619" s="1"/>
      <c r="AO619" s="1"/>
      <c r="AP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4"/>
      <c r="AI620" s="4"/>
      <c r="AJ620" s="1"/>
      <c r="AK620" s="1"/>
      <c r="AL620" s="1"/>
      <c r="AM620" s="1"/>
      <c r="AN620" s="1"/>
      <c r="AO620" s="1"/>
      <c r="AP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4"/>
      <c r="AI621" s="4"/>
      <c r="AJ621" s="1"/>
      <c r="AK621" s="1"/>
      <c r="AL621" s="1"/>
      <c r="AM621" s="1"/>
      <c r="AN621" s="1"/>
      <c r="AO621" s="1"/>
      <c r="AP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4"/>
      <c r="AI622" s="4"/>
      <c r="AJ622" s="1"/>
      <c r="AK622" s="1"/>
      <c r="AL622" s="1"/>
      <c r="AM622" s="1"/>
      <c r="AN622" s="1"/>
      <c r="AO622" s="1"/>
      <c r="AP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4"/>
      <c r="AI623" s="4"/>
      <c r="AJ623" s="1"/>
      <c r="AK623" s="1"/>
      <c r="AL623" s="1"/>
      <c r="AM623" s="1"/>
      <c r="AN623" s="1"/>
      <c r="AO623" s="1"/>
      <c r="AP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4"/>
      <c r="AI624" s="4"/>
      <c r="AJ624" s="1"/>
      <c r="AK624" s="1"/>
      <c r="AL624" s="1"/>
      <c r="AM624" s="1"/>
      <c r="AN624" s="1"/>
      <c r="AO624" s="1"/>
      <c r="AP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4"/>
      <c r="AI625" s="4"/>
      <c r="AJ625" s="1"/>
      <c r="AK625" s="1"/>
      <c r="AL625" s="1"/>
      <c r="AM625" s="1"/>
      <c r="AN625" s="1"/>
      <c r="AO625" s="1"/>
      <c r="AP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4"/>
      <c r="AI626" s="4"/>
      <c r="AJ626" s="1"/>
      <c r="AK626" s="1"/>
      <c r="AL626" s="1"/>
      <c r="AM626" s="1"/>
      <c r="AN626" s="1"/>
      <c r="AO626" s="1"/>
      <c r="AP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4"/>
      <c r="AI627" s="4"/>
      <c r="AJ627" s="1"/>
      <c r="AK627" s="1"/>
      <c r="AL627" s="1"/>
      <c r="AM627" s="1"/>
      <c r="AN627" s="1"/>
      <c r="AO627" s="1"/>
      <c r="AP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4"/>
      <c r="AI628" s="4"/>
      <c r="AJ628" s="1"/>
      <c r="AK628" s="1"/>
      <c r="AL628" s="1"/>
      <c r="AM628" s="1"/>
      <c r="AN628" s="1"/>
      <c r="AO628" s="1"/>
      <c r="AP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4"/>
      <c r="AI629" s="4"/>
      <c r="AJ629" s="1"/>
      <c r="AK629" s="1"/>
      <c r="AL629" s="1"/>
      <c r="AM629" s="1"/>
      <c r="AN629" s="1"/>
      <c r="AO629" s="1"/>
      <c r="AP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4"/>
      <c r="AI630" s="4"/>
      <c r="AJ630" s="1"/>
      <c r="AK630" s="1"/>
      <c r="AL630" s="1"/>
      <c r="AM630" s="1"/>
      <c r="AN630" s="1"/>
      <c r="AO630" s="1"/>
      <c r="AP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4"/>
      <c r="AI631" s="4"/>
      <c r="AJ631" s="1"/>
      <c r="AK631" s="1"/>
      <c r="AL631" s="1"/>
      <c r="AM631" s="1"/>
      <c r="AN631" s="1"/>
      <c r="AO631" s="1"/>
      <c r="AP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4"/>
      <c r="AI632" s="4"/>
      <c r="AJ632" s="1"/>
      <c r="AK632" s="1"/>
      <c r="AL632" s="1"/>
      <c r="AM632" s="1"/>
      <c r="AN632" s="1"/>
      <c r="AO632" s="1"/>
      <c r="AP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4"/>
      <c r="AI633" s="4"/>
      <c r="AJ633" s="1"/>
      <c r="AK633" s="1"/>
      <c r="AL633" s="1"/>
      <c r="AM633" s="1"/>
      <c r="AN633" s="1"/>
      <c r="AO633" s="1"/>
      <c r="AP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4"/>
      <c r="AI634" s="4"/>
      <c r="AJ634" s="1"/>
      <c r="AK634" s="1"/>
      <c r="AL634" s="1"/>
      <c r="AM634" s="1"/>
      <c r="AN634" s="1"/>
      <c r="AO634" s="1"/>
      <c r="AP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4"/>
      <c r="AI635" s="4"/>
      <c r="AJ635" s="1"/>
      <c r="AK635" s="1"/>
      <c r="AL635" s="1"/>
      <c r="AM635" s="1"/>
      <c r="AN635" s="1"/>
      <c r="AO635" s="1"/>
      <c r="AP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4"/>
      <c r="AI636" s="4"/>
      <c r="AJ636" s="1"/>
      <c r="AK636" s="1"/>
      <c r="AL636" s="1"/>
      <c r="AM636" s="1"/>
      <c r="AN636" s="1"/>
      <c r="AO636" s="1"/>
      <c r="AP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4"/>
      <c r="AI637" s="4"/>
      <c r="AJ637" s="1"/>
      <c r="AK637" s="1"/>
      <c r="AL637" s="1"/>
      <c r="AM637" s="1"/>
      <c r="AN637" s="1"/>
      <c r="AO637" s="1"/>
      <c r="AP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4"/>
      <c r="AI638" s="4"/>
      <c r="AJ638" s="1"/>
      <c r="AK638" s="1"/>
      <c r="AL638" s="1"/>
      <c r="AM638" s="1"/>
      <c r="AN638" s="1"/>
      <c r="AO638" s="1"/>
      <c r="AP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4"/>
      <c r="AI639" s="4"/>
      <c r="AJ639" s="1"/>
      <c r="AK639" s="1"/>
      <c r="AL639" s="1"/>
      <c r="AM639" s="1"/>
      <c r="AN639" s="1"/>
      <c r="AO639" s="1"/>
      <c r="AP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4"/>
      <c r="AI640" s="4"/>
      <c r="AJ640" s="1"/>
      <c r="AK640" s="1"/>
      <c r="AL640" s="1"/>
      <c r="AM640" s="1"/>
      <c r="AN640" s="1"/>
      <c r="AO640" s="1"/>
      <c r="AP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4"/>
      <c r="AI641" s="4"/>
      <c r="AJ641" s="1"/>
      <c r="AK641" s="1"/>
      <c r="AL641" s="1"/>
      <c r="AM641" s="1"/>
      <c r="AN641" s="1"/>
      <c r="AO641" s="1"/>
      <c r="AP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4"/>
      <c r="AI642" s="4"/>
      <c r="AJ642" s="1"/>
      <c r="AK642" s="1"/>
      <c r="AL642" s="1"/>
      <c r="AM642" s="1"/>
      <c r="AN642" s="1"/>
      <c r="AO642" s="1"/>
      <c r="AP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4"/>
      <c r="AI643" s="4"/>
      <c r="AJ643" s="1"/>
      <c r="AK643" s="1"/>
      <c r="AL643" s="1"/>
      <c r="AM643" s="1"/>
      <c r="AN643" s="1"/>
      <c r="AO643" s="1"/>
      <c r="AP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4"/>
      <c r="AI644" s="4"/>
      <c r="AJ644" s="1"/>
      <c r="AK644" s="1"/>
      <c r="AL644" s="1"/>
      <c r="AM644" s="1"/>
      <c r="AN644" s="1"/>
      <c r="AO644" s="1"/>
      <c r="AP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4"/>
      <c r="AI645" s="4"/>
      <c r="AJ645" s="1"/>
      <c r="AK645" s="1"/>
      <c r="AL645" s="1"/>
      <c r="AM645" s="1"/>
      <c r="AN645" s="1"/>
      <c r="AO645" s="1"/>
      <c r="AP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4"/>
      <c r="AI646" s="4"/>
      <c r="AJ646" s="1"/>
      <c r="AK646" s="1"/>
      <c r="AL646" s="1"/>
      <c r="AM646" s="1"/>
      <c r="AN646" s="1"/>
      <c r="AO646" s="1"/>
      <c r="AP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4"/>
      <c r="AI647" s="4"/>
      <c r="AJ647" s="1"/>
      <c r="AK647" s="1"/>
      <c r="AL647" s="1"/>
      <c r="AM647" s="1"/>
      <c r="AN647" s="1"/>
      <c r="AO647" s="1"/>
      <c r="AP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4"/>
      <c r="AI648" s="4"/>
      <c r="AJ648" s="1"/>
      <c r="AK648" s="1"/>
      <c r="AL648" s="1"/>
      <c r="AM648" s="1"/>
      <c r="AN648" s="1"/>
      <c r="AO648" s="1"/>
      <c r="AP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4"/>
      <c r="AI649" s="4"/>
      <c r="AJ649" s="1"/>
      <c r="AK649" s="1"/>
      <c r="AL649" s="1"/>
      <c r="AM649" s="1"/>
      <c r="AN649" s="1"/>
      <c r="AO649" s="1"/>
      <c r="AP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4"/>
      <c r="AI650" s="4"/>
      <c r="AJ650" s="1"/>
      <c r="AK650" s="1"/>
      <c r="AL650" s="1"/>
      <c r="AM650" s="1"/>
      <c r="AN650" s="1"/>
      <c r="AO650" s="1"/>
      <c r="AP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4"/>
      <c r="AI651" s="4"/>
      <c r="AJ651" s="1"/>
      <c r="AK651" s="1"/>
      <c r="AL651" s="1"/>
      <c r="AM651" s="1"/>
      <c r="AN651" s="1"/>
      <c r="AO651" s="1"/>
      <c r="AP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4"/>
      <c r="AI652" s="4"/>
      <c r="AJ652" s="1"/>
      <c r="AK652" s="1"/>
      <c r="AL652" s="1"/>
      <c r="AM652" s="1"/>
      <c r="AN652" s="1"/>
      <c r="AO652" s="1"/>
      <c r="AP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4"/>
      <c r="AI653" s="4"/>
      <c r="AJ653" s="1"/>
      <c r="AK653" s="1"/>
      <c r="AL653" s="1"/>
      <c r="AM653" s="1"/>
      <c r="AN653" s="1"/>
      <c r="AO653" s="1"/>
      <c r="AP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4"/>
      <c r="AI654" s="4"/>
      <c r="AJ654" s="1"/>
      <c r="AK654" s="1"/>
      <c r="AL654" s="1"/>
      <c r="AM654" s="1"/>
      <c r="AN654" s="1"/>
      <c r="AO654" s="1"/>
      <c r="AP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4"/>
      <c r="AI655" s="4"/>
      <c r="AJ655" s="1"/>
      <c r="AK655" s="1"/>
      <c r="AL655" s="1"/>
      <c r="AM655" s="1"/>
      <c r="AN655" s="1"/>
      <c r="AO655" s="1"/>
      <c r="AP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4"/>
      <c r="AI656" s="4"/>
      <c r="AJ656" s="1"/>
      <c r="AK656" s="1"/>
      <c r="AL656" s="1"/>
      <c r="AM656" s="1"/>
      <c r="AN656" s="1"/>
      <c r="AO656" s="1"/>
      <c r="AP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4"/>
      <c r="AI657" s="4"/>
      <c r="AJ657" s="1"/>
      <c r="AK657" s="1"/>
      <c r="AL657" s="1"/>
      <c r="AM657" s="1"/>
      <c r="AN657" s="1"/>
      <c r="AO657" s="1"/>
      <c r="AP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4"/>
      <c r="AI658" s="4"/>
      <c r="AJ658" s="1"/>
      <c r="AK658" s="1"/>
      <c r="AL658" s="1"/>
      <c r="AM658" s="1"/>
      <c r="AN658" s="1"/>
      <c r="AO658" s="1"/>
      <c r="AP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4"/>
      <c r="AI659" s="4"/>
      <c r="AJ659" s="1"/>
      <c r="AK659" s="1"/>
      <c r="AL659" s="1"/>
      <c r="AM659" s="1"/>
      <c r="AN659" s="1"/>
      <c r="AO659" s="1"/>
      <c r="AP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4"/>
      <c r="AI660" s="4"/>
      <c r="AJ660" s="1"/>
      <c r="AK660" s="1"/>
      <c r="AL660" s="1"/>
      <c r="AM660" s="1"/>
      <c r="AN660" s="1"/>
      <c r="AO660" s="1"/>
      <c r="AP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4"/>
      <c r="AI661" s="4"/>
      <c r="AJ661" s="1"/>
      <c r="AK661" s="1"/>
      <c r="AL661" s="1"/>
      <c r="AM661" s="1"/>
      <c r="AN661" s="1"/>
      <c r="AO661" s="1"/>
      <c r="AP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4"/>
      <c r="AI662" s="4"/>
      <c r="AJ662" s="1"/>
      <c r="AK662" s="1"/>
      <c r="AL662" s="1"/>
      <c r="AM662" s="1"/>
      <c r="AN662" s="1"/>
      <c r="AO662" s="1"/>
      <c r="AP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4"/>
      <c r="AI663" s="4"/>
      <c r="AJ663" s="1"/>
      <c r="AK663" s="1"/>
      <c r="AL663" s="1"/>
      <c r="AM663" s="1"/>
      <c r="AN663" s="1"/>
      <c r="AO663" s="1"/>
      <c r="AP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4"/>
      <c r="AI664" s="4"/>
      <c r="AJ664" s="1"/>
      <c r="AK664" s="1"/>
      <c r="AL664" s="1"/>
      <c r="AM664" s="1"/>
      <c r="AN664" s="1"/>
      <c r="AO664" s="1"/>
      <c r="AP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4"/>
      <c r="AI665" s="4"/>
      <c r="AJ665" s="1"/>
      <c r="AK665" s="1"/>
      <c r="AL665" s="1"/>
      <c r="AM665" s="1"/>
      <c r="AN665" s="1"/>
      <c r="AO665" s="1"/>
      <c r="AP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4"/>
      <c r="AI666" s="4"/>
      <c r="AJ666" s="1"/>
      <c r="AK666" s="1"/>
      <c r="AL666" s="1"/>
      <c r="AM666" s="1"/>
      <c r="AN666" s="1"/>
      <c r="AO666" s="1"/>
      <c r="AP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4"/>
      <c r="AI667" s="4"/>
      <c r="AJ667" s="1"/>
      <c r="AK667" s="1"/>
      <c r="AL667" s="1"/>
      <c r="AM667" s="1"/>
      <c r="AN667" s="1"/>
      <c r="AO667" s="1"/>
      <c r="AP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4"/>
      <c r="AI668" s="4"/>
      <c r="AJ668" s="1"/>
      <c r="AK668" s="1"/>
      <c r="AL668" s="1"/>
      <c r="AM668" s="1"/>
      <c r="AN668" s="1"/>
      <c r="AO668" s="1"/>
      <c r="AP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4"/>
      <c r="AI669" s="4"/>
      <c r="AJ669" s="1"/>
      <c r="AK669" s="1"/>
      <c r="AL669" s="1"/>
      <c r="AM669" s="1"/>
      <c r="AN669" s="1"/>
      <c r="AO669" s="1"/>
      <c r="AP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4"/>
      <c r="AI670" s="4"/>
      <c r="AJ670" s="1"/>
      <c r="AK670" s="1"/>
      <c r="AL670" s="1"/>
      <c r="AM670" s="1"/>
      <c r="AN670" s="1"/>
      <c r="AO670" s="1"/>
      <c r="AP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4"/>
      <c r="AI671" s="4"/>
      <c r="AJ671" s="1"/>
      <c r="AK671" s="1"/>
      <c r="AL671" s="1"/>
      <c r="AM671" s="1"/>
      <c r="AN671" s="1"/>
      <c r="AO671" s="1"/>
      <c r="AP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4"/>
      <c r="AI672" s="4"/>
      <c r="AJ672" s="1"/>
      <c r="AK672" s="1"/>
      <c r="AL672" s="1"/>
      <c r="AM672" s="1"/>
      <c r="AN672" s="1"/>
      <c r="AO672" s="1"/>
      <c r="AP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4"/>
      <c r="AI673" s="4"/>
      <c r="AJ673" s="1"/>
      <c r="AK673" s="1"/>
      <c r="AL673" s="1"/>
      <c r="AM673" s="1"/>
      <c r="AN673" s="1"/>
      <c r="AO673" s="1"/>
      <c r="AP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4"/>
      <c r="AI674" s="4"/>
      <c r="AJ674" s="1"/>
      <c r="AK674" s="1"/>
      <c r="AL674" s="1"/>
      <c r="AM674" s="1"/>
      <c r="AN674" s="1"/>
      <c r="AO674" s="1"/>
      <c r="AP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4"/>
      <c r="AI675" s="4"/>
      <c r="AJ675" s="1"/>
      <c r="AK675" s="1"/>
      <c r="AL675" s="1"/>
      <c r="AM675" s="1"/>
      <c r="AN675" s="1"/>
      <c r="AO675" s="1"/>
      <c r="AP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4"/>
      <c r="AI676" s="4"/>
      <c r="AJ676" s="1"/>
      <c r="AK676" s="1"/>
      <c r="AL676" s="1"/>
      <c r="AM676" s="1"/>
      <c r="AN676" s="1"/>
      <c r="AO676" s="1"/>
      <c r="AP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4"/>
      <c r="AI677" s="4"/>
      <c r="AJ677" s="1"/>
      <c r="AK677" s="1"/>
      <c r="AL677" s="1"/>
      <c r="AM677" s="1"/>
      <c r="AN677" s="1"/>
      <c r="AO677" s="1"/>
      <c r="AP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4"/>
      <c r="AI678" s="4"/>
      <c r="AJ678" s="1"/>
      <c r="AK678" s="1"/>
      <c r="AL678" s="1"/>
      <c r="AM678" s="1"/>
      <c r="AN678" s="1"/>
      <c r="AO678" s="1"/>
      <c r="AP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4"/>
      <c r="AI679" s="4"/>
      <c r="AJ679" s="1"/>
      <c r="AK679" s="1"/>
      <c r="AL679" s="1"/>
      <c r="AM679" s="1"/>
      <c r="AN679" s="1"/>
      <c r="AO679" s="1"/>
      <c r="AP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4"/>
      <c r="AI680" s="4"/>
      <c r="AJ680" s="1"/>
      <c r="AK680" s="1"/>
      <c r="AL680" s="1"/>
      <c r="AM680" s="1"/>
      <c r="AN680" s="1"/>
      <c r="AO680" s="1"/>
      <c r="AP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4"/>
      <c r="AI681" s="4"/>
      <c r="AJ681" s="1"/>
      <c r="AK681" s="1"/>
      <c r="AL681" s="1"/>
      <c r="AM681" s="1"/>
      <c r="AN681" s="1"/>
      <c r="AO681" s="1"/>
      <c r="AP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4"/>
      <c r="AI682" s="4"/>
      <c r="AJ682" s="1"/>
      <c r="AK682" s="1"/>
      <c r="AL682" s="1"/>
      <c r="AM682" s="1"/>
      <c r="AN682" s="1"/>
      <c r="AO682" s="1"/>
      <c r="AP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4"/>
      <c r="AI683" s="4"/>
      <c r="AJ683" s="1"/>
      <c r="AK683" s="1"/>
      <c r="AL683" s="1"/>
      <c r="AM683" s="1"/>
      <c r="AN683" s="1"/>
      <c r="AO683" s="1"/>
      <c r="AP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4"/>
      <c r="AI684" s="4"/>
      <c r="AJ684" s="1"/>
      <c r="AK684" s="1"/>
      <c r="AL684" s="1"/>
      <c r="AM684" s="1"/>
      <c r="AN684" s="1"/>
      <c r="AO684" s="1"/>
      <c r="AP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4"/>
      <c r="AI685" s="4"/>
      <c r="AJ685" s="1"/>
      <c r="AK685" s="1"/>
      <c r="AL685" s="1"/>
      <c r="AM685" s="1"/>
      <c r="AN685" s="1"/>
      <c r="AO685" s="1"/>
      <c r="AP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4"/>
      <c r="AI686" s="4"/>
      <c r="AJ686" s="1"/>
      <c r="AK686" s="1"/>
      <c r="AL686" s="1"/>
      <c r="AM686" s="1"/>
      <c r="AN686" s="1"/>
      <c r="AO686" s="1"/>
      <c r="AP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4"/>
      <c r="AI687" s="4"/>
      <c r="AJ687" s="1"/>
      <c r="AK687" s="1"/>
      <c r="AL687" s="1"/>
      <c r="AM687" s="1"/>
      <c r="AN687" s="1"/>
      <c r="AO687" s="1"/>
      <c r="AP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4"/>
      <c r="AI688" s="4"/>
      <c r="AJ688" s="1"/>
      <c r="AK688" s="1"/>
      <c r="AL688" s="1"/>
      <c r="AM688" s="1"/>
      <c r="AN688" s="1"/>
      <c r="AO688" s="1"/>
      <c r="AP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4"/>
      <c r="AI689" s="4"/>
      <c r="AJ689" s="1"/>
      <c r="AK689" s="1"/>
      <c r="AL689" s="1"/>
      <c r="AM689" s="1"/>
      <c r="AN689" s="1"/>
      <c r="AO689" s="1"/>
      <c r="AP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4"/>
      <c r="AI690" s="4"/>
      <c r="AJ690" s="1"/>
      <c r="AK690" s="1"/>
      <c r="AL690" s="1"/>
      <c r="AM690" s="1"/>
      <c r="AN690" s="1"/>
      <c r="AO690" s="1"/>
      <c r="AP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4"/>
      <c r="AI691" s="4"/>
      <c r="AJ691" s="1"/>
      <c r="AK691" s="1"/>
      <c r="AL691" s="1"/>
      <c r="AM691" s="1"/>
      <c r="AN691" s="1"/>
      <c r="AO691" s="1"/>
      <c r="AP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4"/>
      <c r="AI692" s="4"/>
      <c r="AJ692" s="1"/>
      <c r="AK692" s="1"/>
      <c r="AL692" s="1"/>
      <c r="AM692" s="1"/>
      <c r="AN692" s="1"/>
      <c r="AO692" s="1"/>
      <c r="AP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4"/>
      <c r="AI693" s="4"/>
      <c r="AJ693" s="1"/>
      <c r="AK693" s="1"/>
      <c r="AL693" s="1"/>
      <c r="AM693" s="1"/>
      <c r="AN693" s="1"/>
      <c r="AO693" s="1"/>
      <c r="AP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4"/>
      <c r="AI694" s="4"/>
      <c r="AJ694" s="1"/>
      <c r="AK694" s="1"/>
      <c r="AL694" s="1"/>
      <c r="AM694" s="1"/>
      <c r="AN694" s="1"/>
      <c r="AO694" s="1"/>
      <c r="AP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4"/>
      <c r="AI695" s="4"/>
      <c r="AJ695" s="1"/>
      <c r="AK695" s="1"/>
      <c r="AL695" s="1"/>
      <c r="AM695" s="1"/>
      <c r="AN695" s="1"/>
      <c r="AO695" s="1"/>
      <c r="AP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4"/>
      <c r="AI696" s="4"/>
      <c r="AJ696" s="1"/>
      <c r="AK696" s="1"/>
      <c r="AL696" s="1"/>
      <c r="AM696" s="1"/>
      <c r="AN696" s="1"/>
      <c r="AO696" s="1"/>
      <c r="AP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4"/>
      <c r="AI697" s="4"/>
      <c r="AJ697" s="1"/>
      <c r="AK697" s="1"/>
      <c r="AL697" s="1"/>
      <c r="AM697" s="1"/>
      <c r="AN697" s="1"/>
      <c r="AO697" s="1"/>
      <c r="AP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4"/>
      <c r="AI698" s="4"/>
      <c r="AJ698" s="1"/>
      <c r="AK698" s="1"/>
      <c r="AL698" s="1"/>
      <c r="AM698" s="1"/>
      <c r="AN698" s="1"/>
      <c r="AO698" s="1"/>
      <c r="AP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4"/>
      <c r="AI699" s="4"/>
      <c r="AJ699" s="1"/>
      <c r="AK699" s="1"/>
      <c r="AL699" s="1"/>
      <c r="AM699" s="1"/>
      <c r="AN699" s="1"/>
      <c r="AO699" s="1"/>
      <c r="AP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4"/>
      <c r="AI700" s="4"/>
      <c r="AJ700" s="1"/>
      <c r="AK700" s="1"/>
      <c r="AL700" s="1"/>
      <c r="AM700" s="1"/>
      <c r="AN700" s="1"/>
      <c r="AO700" s="1"/>
      <c r="AP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4"/>
      <c r="AI701" s="4"/>
      <c r="AJ701" s="1"/>
      <c r="AK701" s="1"/>
      <c r="AL701" s="1"/>
      <c r="AM701" s="1"/>
      <c r="AN701" s="1"/>
      <c r="AO701" s="1"/>
      <c r="AP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4"/>
      <c r="AI702" s="4"/>
      <c r="AJ702" s="1"/>
      <c r="AK702" s="1"/>
      <c r="AL702" s="1"/>
      <c r="AM702" s="1"/>
      <c r="AN702" s="1"/>
      <c r="AO702" s="1"/>
      <c r="AP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4"/>
      <c r="AI703" s="4"/>
      <c r="AJ703" s="1"/>
      <c r="AK703" s="1"/>
      <c r="AL703" s="1"/>
      <c r="AM703" s="1"/>
      <c r="AN703" s="1"/>
      <c r="AO703" s="1"/>
      <c r="AP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4"/>
      <c r="AI704" s="4"/>
      <c r="AJ704" s="1"/>
      <c r="AK704" s="1"/>
      <c r="AL704" s="1"/>
      <c r="AM704" s="1"/>
      <c r="AN704" s="1"/>
      <c r="AO704" s="1"/>
      <c r="AP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4"/>
      <c r="AI705" s="4"/>
      <c r="AJ705" s="1"/>
      <c r="AK705" s="1"/>
      <c r="AL705" s="1"/>
      <c r="AM705" s="1"/>
      <c r="AN705" s="1"/>
      <c r="AO705" s="1"/>
      <c r="AP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4"/>
      <c r="AI706" s="4"/>
      <c r="AJ706" s="1"/>
      <c r="AK706" s="1"/>
      <c r="AL706" s="1"/>
      <c r="AM706" s="1"/>
      <c r="AN706" s="1"/>
      <c r="AO706" s="1"/>
      <c r="AP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4"/>
      <c r="AI707" s="4"/>
      <c r="AJ707" s="1"/>
      <c r="AK707" s="1"/>
      <c r="AL707" s="1"/>
      <c r="AM707" s="1"/>
      <c r="AN707" s="1"/>
      <c r="AO707" s="1"/>
      <c r="AP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4"/>
      <c r="AI708" s="4"/>
      <c r="AJ708" s="1"/>
      <c r="AK708" s="1"/>
      <c r="AL708" s="1"/>
      <c r="AM708" s="1"/>
      <c r="AN708" s="1"/>
      <c r="AO708" s="1"/>
      <c r="AP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4"/>
      <c r="AI709" s="4"/>
      <c r="AJ709" s="1"/>
      <c r="AK709" s="1"/>
      <c r="AL709" s="1"/>
      <c r="AM709" s="1"/>
      <c r="AN709" s="1"/>
      <c r="AO709" s="1"/>
      <c r="AP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4"/>
      <c r="AI710" s="4"/>
      <c r="AJ710" s="1"/>
      <c r="AK710" s="1"/>
      <c r="AL710" s="1"/>
      <c r="AM710" s="1"/>
      <c r="AN710" s="1"/>
      <c r="AO710" s="1"/>
      <c r="AP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4"/>
      <c r="AI711" s="4"/>
      <c r="AJ711" s="1"/>
      <c r="AK711" s="1"/>
      <c r="AL711" s="1"/>
      <c r="AM711" s="1"/>
      <c r="AN711" s="1"/>
      <c r="AO711" s="1"/>
      <c r="AP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4"/>
      <c r="AI712" s="4"/>
      <c r="AJ712" s="1"/>
      <c r="AK712" s="1"/>
      <c r="AL712" s="1"/>
      <c r="AM712" s="1"/>
      <c r="AN712" s="1"/>
      <c r="AO712" s="1"/>
      <c r="AP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4"/>
      <c r="AI713" s="4"/>
      <c r="AJ713" s="1"/>
      <c r="AK713" s="1"/>
      <c r="AL713" s="1"/>
      <c r="AM713" s="1"/>
      <c r="AN713" s="1"/>
      <c r="AO713" s="1"/>
      <c r="AP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4"/>
      <c r="AI714" s="4"/>
      <c r="AJ714" s="1"/>
      <c r="AK714" s="1"/>
      <c r="AL714" s="1"/>
      <c r="AM714" s="1"/>
      <c r="AN714" s="1"/>
      <c r="AO714" s="1"/>
      <c r="AP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4"/>
      <c r="AI715" s="4"/>
      <c r="AJ715" s="1"/>
      <c r="AK715" s="1"/>
      <c r="AL715" s="1"/>
      <c r="AM715" s="1"/>
      <c r="AN715" s="1"/>
      <c r="AO715" s="1"/>
      <c r="AP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4"/>
      <c r="AI716" s="4"/>
      <c r="AJ716" s="1"/>
      <c r="AK716" s="1"/>
      <c r="AL716" s="1"/>
      <c r="AM716" s="1"/>
      <c r="AN716" s="1"/>
      <c r="AO716" s="1"/>
      <c r="AP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4"/>
      <c r="AI717" s="4"/>
      <c r="AJ717" s="1"/>
      <c r="AK717" s="1"/>
      <c r="AL717" s="1"/>
      <c r="AM717" s="1"/>
      <c r="AN717" s="1"/>
      <c r="AO717" s="1"/>
      <c r="AP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4"/>
      <c r="AI718" s="4"/>
      <c r="AJ718" s="1"/>
      <c r="AK718" s="1"/>
      <c r="AL718" s="1"/>
      <c r="AM718" s="1"/>
      <c r="AN718" s="1"/>
      <c r="AO718" s="1"/>
      <c r="AP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4"/>
      <c r="AI719" s="4"/>
      <c r="AJ719" s="1"/>
      <c r="AK719" s="1"/>
      <c r="AL719" s="1"/>
      <c r="AM719" s="1"/>
      <c r="AN719" s="1"/>
      <c r="AO719" s="1"/>
      <c r="AP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4"/>
      <c r="AI720" s="4"/>
      <c r="AJ720" s="1"/>
      <c r="AK720" s="1"/>
      <c r="AL720" s="1"/>
      <c r="AM720" s="1"/>
      <c r="AN720" s="1"/>
      <c r="AO720" s="1"/>
      <c r="AP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4"/>
      <c r="AI721" s="4"/>
      <c r="AJ721" s="1"/>
      <c r="AK721" s="1"/>
      <c r="AL721" s="1"/>
      <c r="AM721" s="1"/>
      <c r="AN721" s="1"/>
      <c r="AO721" s="1"/>
      <c r="AP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4"/>
      <c r="AI722" s="4"/>
      <c r="AJ722" s="1"/>
      <c r="AK722" s="1"/>
      <c r="AL722" s="1"/>
      <c r="AM722" s="1"/>
      <c r="AN722" s="1"/>
      <c r="AO722" s="1"/>
      <c r="AP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4"/>
      <c r="AI723" s="4"/>
      <c r="AJ723" s="1"/>
      <c r="AK723" s="1"/>
      <c r="AL723" s="1"/>
      <c r="AM723" s="1"/>
      <c r="AN723" s="1"/>
      <c r="AO723" s="1"/>
      <c r="AP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4"/>
      <c r="AI724" s="4"/>
      <c r="AJ724" s="1"/>
      <c r="AK724" s="1"/>
      <c r="AL724" s="1"/>
      <c r="AM724" s="1"/>
      <c r="AN724" s="1"/>
      <c r="AO724" s="1"/>
      <c r="AP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4"/>
      <c r="AI725" s="4"/>
      <c r="AJ725" s="1"/>
      <c r="AK725" s="1"/>
      <c r="AL725" s="1"/>
      <c r="AM725" s="1"/>
      <c r="AN725" s="1"/>
      <c r="AO725" s="1"/>
      <c r="AP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4"/>
      <c r="AI726" s="4"/>
      <c r="AJ726" s="1"/>
      <c r="AK726" s="1"/>
      <c r="AL726" s="1"/>
      <c r="AM726" s="1"/>
      <c r="AN726" s="1"/>
      <c r="AO726" s="1"/>
      <c r="AP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4"/>
      <c r="AI727" s="4"/>
      <c r="AJ727" s="1"/>
      <c r="AK727" s="1"/>
      <c r="AL727" s="1"/>
      <c r="AM727" s="1"/>
      <c r="AN727" s="1"/>
      <c r="AO727" s="1"/>
      <c r="AP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4"/>
      <c r="AI728" s="4"/>
      <c r="AJ728" s="1"/>
      <c r="AK728" s="1"/>
      <c r="AL728" s="1"/>
      <c r="AM728" s="1"/>
      <c r="AN728" s="1"/>
      <c r="AO728" s="1"/>
      <c r="AP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4"/>
      <c r="AI729" s="4"/>
      <c r="AJ729" s="1"/>
      <c r="AK729" s="1"/>
      <c r="AL729" s="1"/>
      <c r="AM729" s="1"/>
      <c r="AN729" s="1"/>
      <c r="AO729" s="1"/>
      <c r="AP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4"/>
      <c r="AI730" s="4"/>
      <c r="AJ730" s="1"/>
      <c r="AK730" s="1"/>
      <c r="AL730" s="1"/>
      <c r="AM730" s="1"/>
      <c r="AN730" s="1"/>
      <c r="AO730" s="1"/>
      <c r="AP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4"/>
      <c r="AI731" s="4"/>
      <c r="AJ731" s="1"/>
      <c r="AK731" s="1"/>
      <c r="AL731" s="1"/>
      <c r="AM731" s="1"/>
      <c r="AN731" s="1"/>
      <c r="AO731" s="1"/>
      <c r="AP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4"/>
      <c r="AI732" s="4"/>
      <c r="AJ732" s="1"/>
      <c r="AK732" s="1"/>
      <c r="AL732" s="1"/>
      <c r="AM732" s="1"/>
      <c r="AN732" s="1"/>
      <c r="AO732" s="1"/>
      <c r="AP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4"/>
      <c r="AI733" s="4"/>
      <c r="AJ733" s="1"/>
      <c r="AK733" s="1"/>
      <c r="AL733" s="1"/>
      <c r="AM733" s="1"/>
      <c r="AN733" s="1"/>
      <c r="AO733" s="1"/>
      <c r="AP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4"/>
      <c r="AI734" s="4"/>
      <c r="AJ734" s="1"/>
      <c r="AK734" s="1"/>
      <c r="AL734" s="1"/>
      <c r="AM734" s="1"/>
      <c r="AN734" s="1"/>
      <c r="AO734" s="1"/>
      <c r="AP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4"/>
      <c r="AI735" s="4"/>
      <c r="AJ735" s="1"/>
      <c r="AK735" s="1"/>
      <c r="AL735" s="1"/>
      <c r="AM735" s="1"/>
      <c r="AN735" s="1"/>
      <c r="AO735" s="1"/>
      <c r="AP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4"/>
      <c r="AI736" s="4"/>
      <c r="AJ736" s="1"/>
      <c r="AK736" s="1"/>
      <c r="AL736" s="1"/>
      <c r="AM736" s="1"/>
      <c r="AN736" s="1"/>
      <c r="AO736" s="1"/>
      <c r="AP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4"/>
      <c r="AI737" s="4"/>
      <c r="AJ737" s="1"/>
      <c r="AK737" s="1"/>
      <c r="AL737" s="1"/>
      <c r="AM737" s="1"/>
      <c r="AN737" s="1"/>
      <c r="AO737" s="1"/>
      <c r="AP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4"/>
      <c r="AI738" s="4"/>
      <c r="AJ738" s="1"/>
      <c r="AK738" s="1"/>
      <c r="AL738" s="1"/>
      <c r="AM738" s="1"/>
      <c r="AN738" s="1"/>
      <c r="AO738" s="1"/>
      <c r="AP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4"/>
      <c r="AI739" s="4"/>
      <c r="AJ739" s="1"/>
      <c r="AK739" s="1"/>
      <c r="AL739" s="1"/>
      <c r="AM739" s="1"/>
      <c r="AN739" s="1"/>
      <c r="AO739" s="1"/>
      <c r="AP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4"/>
      <c r="AI740" s="4"/>
      <c r="AJ740" s="1"/>
      <c r="AK740" s="1"/>
      <c r="AL740" s="1"/>
      <c r="AM740" s="1"/>
      <c r="AN740" s="1"/>
      <c r="AO740" s="1"/>
      <c r="AP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4"/>
      <c r="AI741" s="4"/>
      <c r="AJ741" s="1"/>
      <c r="AK741" s="1"/>
      <c r="AL741" s="1"/>
      <c r="AM741" s="1"/>
      <c r="AN741" s="1"/>
      <c r="AO741" s="1"/>
      <c r="AP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4"/>
      <c r="AI742" s="4"/>
      <c r="AJ742" s="1"/>
      <c r="AK742" s="1"/>
      <c r="AL742" s="1"/>
      <c r="AM742" s="1"/>
      <c r="AN742" s="1"/>
      <c r="AO742" s="1"/>
      <c r="AP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4"/>
      <c r="AI743" s="4"/>
      <c r="AJ743" s="1"/>
      <c r="AK743" s="1"/>
      <c r="AL743" s="1"/>
      <c r="AM743" s="1"/>
      <c r="AN743" s="1"/>
      <c r="AO743" s="1"/>
      <c r="AP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4"/>
      <c r="AI744" s="4"/>
      <c r="AJ744" s="1"/>
      <c r="AK744" s="1"/>
      <c r="AL744" s="1"/>
      <c r="AM744" s="1"/>
      <c r="AN744" s="1"/>
      <c r="AO744" s="1"/>
      <c r="AP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4"/>
      <c r="AI745" s="4"/>
      <c r="AJ745" s="1"/>
      <c r="AK745" s="1"/>
      <c r="AL745" s="1"/>
      <c r="AM745" s="1"/>
      <c r="AN745" s="1"/>
      <c r="AO745" s="1"/>
      <c r="AP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4"/>
      <c r="AI746" s="4"/>
      <c r="AJ746" s="1"/>
      <c r="AK746" s="1"/>
      <c r="AL746" s="1"/>
      <c r="AM746" s="1"/>
      <c r="AN746" s="1"/>
      <c r="AO746" s="1"/>
      <c r="AP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4"/>
      <c r="AI747" s="4"/>
      <c r="AJ747" s="1"/>
      <c r="AK747" s="1"/>
      <c r="AL747" s="1"/>
      <c r="AM747" s="1"/>
      <c r="AN747" s="1"/>
      <c r="AO747" s="1"/>
      <c r="AP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4"/>
      <c r="AI748" s="4"/>
      <c r="AJ748" s="1"/>
      <c r="AK748" s="1"/>
      <c r="AL748" s="1"/>
      <c r="AM748" s="1"/>
      <c r="AN748" s="1"/>
      <c r="AO748" s="1"/>
      <c r="AP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4"/>
      <c r="AI749" s="4"/>
      <c r="AJ749" s="1"/>
      <c r="AK749" s="1"/>
      <c r="AL749" s="1"/>
      <c r="AM749" s="1"/>
      <c r="AN749" s="1"/>
      <c r="AO749" s="1"/>
      <c r="AP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4"/>
      <c r="AI750" s="4"/>
      <c r="AJ750" s="1"/>
      <c r="AK750" s="1"/>
      <c r="AL750" s="1"/>
      <c r="AM750" s="1"/>
      <c r="AN750" s="1"/>
      <c r="AO750" s="1"/>
      <c r="AP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4"/>
      <c r="AI751" s="4"/>
      <c r="AJ751" s="1"/>
      <c r="AK751" s="1"/>
      <c r="AL751" s="1"/>
      <c r="AM751" s="1"/>
      <c r="AN751" s="1"/>
      <c r="AO751" s="1"/>
      <c r="AP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4"/>
      <c r="AI752" s="4"/>
      <c r="AJ752" s="1"/>
      <c r="AK752" s="1"/>
      <c r="AL752" s="1"/>
      <c r="AM752" s="1"/>
      <c r="AN752" s="1"/>
      <c r="AO752" s="1"/>
      <c r="AP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4"/>
      <c r="AI753" s="4"/>
      <c r="AJ753" s="1"/>
      <c r="AK753" s="1"/>
      <c r="AL753" s="1"/>
      <c r="AM753" s="1"/>
      <c r="AN753" s="1"/>
      <c r="AO753" s="1"/>
      <c r="AP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4"/>
      <c r="AI754" s="4"/>
      <c r="AJ754" s="1"/>
      <c r="AK754" s="1"/>
      <c r="AL754" s="1"/>
      <c r="AM754" s="1"/>
      <c r="AN754" s="1"/>
      <c r="AO754" s="1"/>
      <c r="AP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4"/>
      <c r="AI755" s="4"/>
      <c r="AJ755" s="1"/>
      <c r="AK755" s="1"/>
      <c r="AL755" s="1"/>
      <c r="AM755" s="1"/>
      <c r="AN755" s="1"/>
      <c r="AO755" s="1"/>
      <c r="AP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4"/>
      <c r="AI756" s="4"/>
      <c r="AJ756" s="1"/>
      <c r="AK756" s="1"/>
      <c r="AL756" s="1"/>
      <c r="AM756" s="1"/>
      <c r="AN756" s="1"/>
      <c r="AO756" s="1"/>
      <c r="AP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4"/>
      <c r="AI757" s="4"/>
      <c r="AJ757" s="1"/>
      <c r="AK757" s="1"/>
      <c r="AL757" s="1"/>
      <c r="AM757" s="1"/>
      <c r="AN757" s="1"/>
      <c r="AO757" s="1"/>
      <c r="AP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4"/>
      <c r="AI758" s="4"/>
      <c r="AJ758" s="1"/>
      <c r="AK758" s="1"/>
      <c r="AL758" s="1"/>
      <c r="AM758" s="1"/>
      <c r="AN758" s="1"/>
      <c r="AO758" s="1"/>
      <c r="AP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4"/>
      <c r="AI759" s="4"/>
      <c r="AJ759" s="1"/>
      <c r="AK759" s="1"/>
      <c r="AL759" s="1"/>
      <c r="AM759" s="1"/>
      <c r="AN759" s="1"/>
      <c r="AO759" s="1"/>
      <c r="AP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4"/>
      <c r="AI760" s="4"/>
      <c r="AJ760" s="1"/>
      <c r="AK760" s="1"/>
      <c r="AL760" s="1"/>
      <c r="AM760" s="1"/>
      <c r="AN760" s="1"/>
      <c r="AO760" s="1"/>
      <c r="AP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4"/>
      <c r="AI761" s="4"/>
      <c r="AJ761" s="1"/>
      <c r="AK761" s="1"/>
      <c r="AL761" s="1"/>
      <c r="AM761" s="1"/>
      <c r="AN761" s="1"/>
      <c r="AO761" s="1"/>
      <c r="AP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4"/>
      <c r="AI762" s="4"/>
      <c r="AJ762" s="1"/>
      <c r="AK762" s="1"/>
      <c r="AL762" s="1"/>
      <c r="AM762" s="1"/>
      <c r="AN762" s="1"/>
      <c r="AO762" s="1"/>
      <c r="AP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4"/>
      <c r="AI763" s="4"/>
      <c r="AJ763" s="1"/>
      <c r="AK763" s="1"/>
      <c r="AL763" s="1"/>
      <c r="AM763" s="1"/>
      <c r="AN763" s="1"/>
      <c r="AO763" s="1"/>
      <c r="AP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4"/>
      <c r="AI764" s="4"/>
      <c r="AJ764" s="1"/>
      <c r="AK764" s="1"/>
      <c r="AL764" s="1"/>
      <c r="AM764" s="1"/>
      <c r="AN764" s="1"/>
      <c r="AO764" s="1"/>
      <c r="AP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4"/>
      <c r="AI765" s="4"/>
      <c r="AJ765" s="1"/>
      <c r="AK765" s="1"/>
      <c r="AL765" s="1"/>
      <c r="AM765" s="1"/>
      <c r="AN765" s="1"/>
      <c r="AO765" s="1"/>
      <c r="AP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4"/>
      <c r="AI766" s="4"/>
      <c r="AJ766" s="1"/>
      <c r="AK766" s="1"/>
      <c r="AL766" s="1"/>
      <c r="AM766" s="1"/>
      <c r="AN766" s="1"/>
      <c r="AO766" s="1"/>
      <c r="AP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4"/>
      <c r="AI767" s="4"/>
      <c r="AJ767" s="1"/>
      <c r="AK767" s="1"/>
      <c r="AL767" s="1"/>
      <c r="AM767" s="1"/>
      <c r="AN767" s="1"/>
      <c r="AO767" s="1"/>
      <c r="AP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4"/>
      <c r="AI768" s="4"/>
      <c r="AJ768" s="1"/>
      <c r="AK768" s="1"/>
      <c r="AL768" s="1"/>
      <c r="AM768" s="1"/>
      <c r="AN768" s="1"/>
      <c r="AO768" s="1"/>
      <c r="AP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4"/>
      <c r="AI769" s="4"/>
      <c r="AJ769" s="1"/>
      <c r="AK769" s="1"/>
      <c r="AL769" s="1"/>
      <c r="AM769" s="1"/>
      <c r="AN769" s="1"/>
      <c r="AO769" s="1"/>
      <c r="AP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4"/>
      <c r="AI770" s="4"/>
      <c r="AJ770" s="1"/>
      <c r="AK770" s="1"/>
      <c r="AL770" s="1"/>
      <c r="AM770" s="1"/>
      <c r="AN770" s="1"/>
      <c r="AO770" s="1"/>
      <c r="AP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4"/>
      <c r="AI771" s="4"/>
      <c r="AJ771" s="1"/>
      <c r="AK771" s="1"/>
      <c r="AL771" s="1"/>
      <c r="AM771" s="1"/>
      <c r="AN771" s="1"/>
      <c r="AO771" s="1"/>
      <c r="AP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4"/>
      <c r="AI772" s="4"/>
      <c r="AJ772" s="1"/>
      <c r="AK772" s="1"/>
      <c r="AL772" s="1"/>
      <c r="AM772" s="1"/>
      <c r="AN772" s="1"/>
      <c r="AO772" s="1"/>
      <c r="AP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4"/>
      <c r="AI773" s="4"/>
      <c r="AJ773" s="1"/>
      <c r="AK773" s="1"/>
      <c r="AL773" s="1"/>
      <c r="AM773" s="1"/>
      <c r="AN773" s="1"/>
      <c r="AO773" s="1"/>
      <c r="AP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4"/>
      <c r="AI774" s="4"/>
      <c r="AJ774" s="1"/>
      <c r="AK774" s="1"/>
      <c r="AL774" s="1"/>
      <c r="AM774" s="1"/>
      <c r="AN774" s="1"/>
      <c r="AO774" s="1"/>
      <c r="AP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4"/>
      <c r="AI775" s="4"/>
      <c r="AJ775" s="1"/>
      <c r="AK775" s="1"/>
      <c r="AL775" s="1"/>
      <c r="AM775" s="1"/>
      <c r="AN775" s="1"/>
      <c r="AO775" s="1"/>
      <c r="AP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4"/>
      <c r="AI776" s="4"/>
      <c r="AJ776" s="1"/>
      <c r="AK776" s="1"/>
      <c r="AL776" s="1"/>
      <c r="AM776" s="1"/>
      <c r="AN776" s="1"/>
      <c r="AO776" s="1"/>
      <c r="AP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4"/>
      <c r="AI777" s="4"/>
      <c r="AJ777" s="1"/>
      <c r="AK777" s="1"/>
      <c r="AL777" s="1"/>
      <c r="AM777" s="1"/>
      <c r="AN777" s="1"/>
      <c r="AO777" s="1"/>
      <c r="AP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4"/>
      <c r="AI778" s="4"/>
      <c r="AJ778" s="1"/>
      <c r="AK778" s="1"/>
      <c r="AL778" s="1"/>
      <c r="AM778" s="1"/>
      <c r="AN778" s="1"/>
      <c r="AO778" s="1"/>
      <c r="AP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4"/>
      <c r="AI779" s="4"/>
      <c r="AJ779" s="1"/>
      <c r="AK779" s="1"/>
      <c r="AL779" s="1"/>
      <c r="AM779" s="1"/>
      <c r="AN779" s="1"/>
      <c r="AO779" s="1"/>
      <c r="AP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4"/>
      <c r="AI780" s="4"/>
      <c r="AJ780" s="1"/>
      <c r="AK780" s="1"/>
      <c r="AL780" s="1"/>
      <c r="AM780" s="1"/>
      <c r="AN780" s="1"/>
      <c r="AO780" s="1"/>
      <c r="AP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4"/>
      <c r="AI781" s="4"/>
      <c r="AJ781" s="1"/>
      <c r="AK781" s="1"/>
      <c r="AL781" s="1"/>
      <c r="AM781" s="1"/>
      <c r="AN781" s="1"/>
      <c r="AO781" s="1"/>
      <c r="AP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4"/>
      <c r="AI782" s="4"/>
      <c r="AJ782" s="1"/>
      <c r="AK782" s="1"/>
      <c r="AL782" s="1"/>
      <c r="AM782" s="1"/>
      <c r="AN782" s="1"/>
      <c r="AO782" s="1"/>
      <c r="AP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4"/>
      <c r="AI783" s="4"/>
      <c r="AJ783" s="1"/>
      <c r="AK783" s="1"/>
      <c r="AL783" s="1"/>
      <c r="AM783" s="1"/>
      <c r="AN783" s="1"/>
      <c r="AO783" s="1"/>
      <c r="AP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4"/>
      <c r="AI784" s="4"/>
      <c r="AJ784" s="1"/>
      <c r="AK784" s="1"/>
      <c r="AL784" s="1"/>
      <c r="AM784" s="1"/>
      <c r="AN784" s="1"/>
      <c r="AO784" s="1"/>
      <c r="AP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4"/>
      <c r="AI785" s="4"/>
      <c r="AJ785" s="1"/>
      <c r="AK785" s="1"/>
      <c r="AL785" s="1"/>
      <c r="AM785" s="1"/>
      <c r="AN785" s="1"/>
      <c r="AO785" s="1"/>
      <c r="AP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4"/>
      <c r="AI786" s="4"/>
      <c r="AJ786" s="1"/>
      <c r="AK786" s="1"/>
      <c r="AL786" s="1"/>
      <c r="AM786" s="1"/>
      <c r="AN786" s="1"/>
      <c r="AO786" s="1"/>
      <c r="AP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4"/>
      <c r="AI787" s="4"/>
      <c r="AJ787" s="1"/>
      <c r="AK787" s="1"/>
      <c r="AL787" s="1"/>
      <c r="AM787" s="1"/>
      <c r="AN787" s="1"/>
      <c r="AO787" s="1"/>
      <c r="AP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4"/>
      <c r="AI788" s="4"/>
      <c r="AJ788" s="1"/>
      <c r="AK788" s="1"/>
      <c r="AL788" s="1"/>
      <c r="AM788" s="1"/>
      <c r="AN788" s="1"/>
      <c r="AO788" s="1"/>
      <c r="AP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4"/>
      <c r="AI789" s="4"/>
      <c r="AJ789" s="1"/>
      <c r="AK789" s="1"/>
      <c r="AL789" s="1"/>
      <c r="AM789" s="1"/>
      <c r="AN789" s="1"/>
      <c r="AO789" s="1"/>
      <c r="AP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4"/>
      <c r="AI790" s="4"/>
      <c r="AJ790" s="1"/>
      <c r="AK790" s="1"/>
      <c r="AL790" s="1"/>
      <c r="AM790" s="1"/>
      <c r="AN790" s="1"/>
      <c r="AO790" s="1"/>
      <c r="AP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4"/>
      <c r="AI791" s="4"/>
      <c r="AJ791" s="1"/>
      <c r="AK791" s="1"/>
      <c r="AL791" s="1"/>
      <c r="AM791" s="1"/>
      <c r="AN791" s="1"/>
      <c r="AO791" s="1"/>
      <c r="AP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4"/>
      <c r="AI792" s="4"/>
      <c r="AJ792" s="1"/>
      <c r="AK792" s="1"/>
      <c r="AL792" s="1"/>
      <c r="AM792" s="1"/>
      <c r="AN792" s="1"/>
      <c r="AO792" s="1"/>
      <c r="AP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4"/>
      <c r="AI793" s="4"/>
      <c r="AJ793" s="1"/>
      <c r="AK793" s="1"/>
      <c r="AL793" s="1"/>
      <c r="AM793" s="1"/>
      <c r="AN793" s="1"/>
      <c r="AO793" s="1"/>
      <c r="AP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4"/>
      <c r="AI794" s="4"/>
      <c r="AJ794" s="1"/>
      <c r="AK794" s="1"/>
      <c r="AL794" s="1"/>
      <c r="AM794" s="1"/>
      <c r="AN794" s="1"/>
      <c r="AO794" s="1"/>
      <c r="AP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4"/>
      <c r="AI795" s="4"/>
      <c r="AJ795" s="1"/>
      <c r="AK795" s="1"/>
      <c r="AL795" s="1"/>
      <c r="AM795" s="1"/>
      <c r="AN795" s="1"/>
      <c r="AO795" s="1"/>
      <c r="AP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4"/>
      <c r="AI796" s="4"/>
      <c r="AJ796" s="1"/>
      <c r="AK796" s="1"/>
      <c r="AL796" s="1"/>
      <c r="AM796" s="1"/>
      <c r="AN796" s="1"/>
      <c r="AO796" s="1"/>
      <c r="AP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4"/>
      <c r="AI797" s="4"/>
      <c r="AJ797" s="1"/>
      <c r="AK797" s="1"/>
      <c r="AL797" s="1"/>
      <c r="AM797" s="1"/>
      <c r="AN797" s="1"/>
      <c r="AO797" s="1"/>
      <c r="AP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4"/>
      <c r="AI798" s="4"/>
      <c r="AJ798" s="1"/>
      <c r="AK798" s="1"/>
      <c r="AL798" s="1"/>
      <c r="AM798" s="1"/>
      <c r="AN798" s="1"/>
      <c r="AO798" s="1"/>
      <c r="AP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4"/>
      <c r="AI799" s="4"/>
      <c r="AJ799" s="1"/>
      <c r="AK799" s="1"/>
      <c r="AL799" s="1"/>
      <c r="AM799" s="1"/>
      <c r="AN799" s="1"/>
      <c r="AO799" s="1"/>
      <c r="AP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4"/>
      <c r="AI800" s="4"/>
      <c r="AJ800" s="1"/>
      <c r="AK800" s="1"/>
      <c r="AL800" s="1"/>
      <c r="AM800" s="1"/>
      <c r="AN800" s="1"/>
      <c r="AO800" s="1"/>
      <c r="AP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4"/>
      <c r="AI801" s="4"/>
      <c r="AJ801" s="1"/>
      <c r="AK801" s="1"/>
      <c r="AL801" s="1"/>
      <c r="AM801" s="1"/>
      <c r="AN801" s="1"/>
      <c r="AO801" s="1"/>
      <c r="AP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4"/>
      <c r="AI802" s="4"/>
      <c r="AJ802" s="1"/>
      <c r="AK802" s="1"/>
      <c r="AL802" s="1"/>
      <c r="AM802" s="1"/>
      <c r="AN802" s="1"/>
      <c r="AO802" s="1"/>
      <c r="AP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4"/>
      <c r="AI803" s="4"/>
      <c r="AJ803" s="1"/>
      <c r="AK803" s="1"/>
      <c r="AL803" s="1"/>
      <c r="AM803" s="1"/>
      <c r="AN803" s="1"/>
      <c r="AO803" s="1"/>
      <c r="AP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4"/>
      <c r="AI804" s="4"/>
      <c r="AJ804" s="1"/>
      <c r="AK804" s="1"/>
      <c r="AL804" s="1"/>
      <c r="AM804" s="1"/>
      <c r="AN804" s="1"/>
      <c r="AO804" s="1"/>
      <c r="AP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4"/>
      <c r="AI805" s="4"/>
      <c r="AJ805" s="1"/>
      <c r="AK805" s="1"/>
      <c r="AL805" s="1"/>
      <c r="AM805" s="1"/>
      <c r="AN805" s="1"/>
      <c r="AO805" s="1"/>
      <c r="AP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4"/>
      <c r="AI806" s="4"/>
      <c r="AJ806" s="1"/>
      <c r="AK806" s="1"/>
      <c r="AL806" s="1"/>
      <c r="AM806" s="1"/>
      <c r="AN806" s="1"/>
      <c r="AO806" s="1"/>
      <c r="AP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4"/>
      <c r="AI807" s="4"/>
      <c r="AJ807" s="1"/>
      <c r="AK807" s="1"/>
      <c r="AL807" s="1"/>
      <c r="AM807" s="1"/>
      <c r="AN807" s="1"/>
      <c r="AO807" s="1"/>
      <c r="AP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4"/>
      <c r="AI808" s="4"/>
      <c r="AJ808" s="1"/>
      <c r="AK808" s="1"/>
      <c r="AL808" s="1"/>
      <c r="AM808" s="1"/>
      <c r="AN808" s="1"/>
      <c r="AO808" s="1"/>
      <c r="AP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4"/>
      <c r="AI809" s="4"/>
      <c r="AJ809" s="1"/>
      <c r="AK809" s="1"/>
      <c r="AL809" s="1"/>
      <c r="AM809" s="1"/>
      <c r="AN809" s="1"/>
      <c r="AO809" s="1"/>
      <c r="AP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4"/>
      <c r="AI810" s="4"/>
      <c r="AJ810" s="1"/>
      <c r="AK810" s="1"/>
      <c r="AL810" s="1"/>
      <c r="AM810" s="1"/>
      <c r="AN810" s="1"/>
      <c r="AO810" s="1"/>
      <c r="AP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4"/>
      <c r="AI811" s="4"/>
      <c r="AJ811" s="1"/>
      <c r="AK811" s="1"/>
      <c r="AL811" s="1"/>
      <c r="AM811" s="1"/>
      <c r="AN811" s="1"/>
      <c r="AO811" s="1"/>
      <c r="AP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4"/>
      <c r="AI812" s="4"/>
      <c r="AJ812" s="1"/>
      <c r="AK812" s="1"/>
      <c r="AL812" s="1"/>
      <c r="AM812" s="1"/>
      <c r="AN812" s="1"/>
      <c r="AO812" s="1"/>
      <c r="AP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4"/>
      <c r="AI813" s="4"/>
      <c r="AJ813" s="1"/>
      <c r="AK813" s="1"/>
      <c r="AL813" s="1"/>
      <c r="AM813" s="1"/>
      <c r="AN813" s="1"/>
      <c r="AO813" s="1"/>
      <c r="AP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4"/>
      <c r="AI814" s="4"/>
      <c r="AJ814" s="1"/>
      <c r="AK814" s="1"/>
      <c r="AL814" s="1"/>
      <c r="AM814" s="1"/>
      <c r="AN814" s="1"/>
      <c r="AO814" s="1"/>
      <c r="AP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4"/>
      <c r="AI815" s="4"/>
      <c r="AJ815" s="1"/>
      <c r="AK815" s="1"/>
      <c r="AL815" s="1"/>
      <c r="AM815" s="1"/>
      <c r="AN815" s="1"/>
      <c r="AO815" s="1"/>
      <c r="AP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4"/>
      <c r="AI816" s="4"/>
      <c r="AJ816" s="1"/>
      <c r="AK816" s="1"/>
      <c r="AL816" s="1"/>
      <c r="AM816" s="1"/>
      <c r="AN816" s="1"/>
      <c r="AO816" s="1"/>
      <c r="AP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4"/>
      <c r="AI817" s="4"/>
      <c r="AJ817" s="1"/>
      <c r="AK817" s="1"/>
      <c r="AL817" s="1"/>
      <c r="AM817" s="1"/>
      <c r="AN817" s="1"/>
      <c r="AO817" s="1"/>
      <c r="AP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4"/>
      <c r="AI818" s="4"/>
      <c r="AJ818" s="1"/>
      <c r="AK818" s="1"/>
      <c r="AL818" s="1"/>
      <c r="AM818" s="1"/>
      <c r="AN818" s="1"/>
      <c r="AO818" s="1"/>
      <c r="AP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4"/>
      <c r="AI819" s="4"/>
      <c r="AJ819" s="1"/>
      <c r="AK819" s="1"/>
      <c r="AL819" s="1"/>
      <c r="AM819" s="1"/>
      <c r="AN819" s="1"/>
      <c r="AO819" s="1"/>
      <c r="AP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4"/>
      <c r="AI820" s="4"/>
      <c r="AJ820" s="1"/>
      <c r="AK820" s="1"/>
      <c r="AL820" s="1"/>
      <c r="AM820" s="1"/>
      <c r="AN820" s="1"/>
      <c r="AO820" s="1"/>
      <c r="AP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4"/>
      <c r="AI821" s="4"/>
      <c r="AJ821" s="1"/>
      <c r="AK821" s="1"/>
      <c r="AL821" s="1"/>
      <c r="AM821" s="1"/>
      <c r="AN821" s="1"/>
      <c r="AO821" s="1"/>
      <c r="AP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4"/>
      <c r="AI822" s="4"/>
      <c r="AJ822" s="1"/>
      <c r="AK822" s="1"/>
      <c r="AL822" s="1"/>
      <c r="AM822" s="1"/>
      <c r="AN822" s="1"/>
      <c r="AO822" s="1"/>
      <c r="AP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4"/>
      <c r="AI823" s="4"/>
      <c r="AJ823" s="1"/>
      <c r="AK823" s="1"/>
      <c r="AL823" s="1"/>
      <c r="AM823" s="1"/>
      <c r="AN823" s="1"/>
      <c r="AO823" s="1"/>
      <c r="AP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4"/>
      <c r="AI824" s="4"/>
      <c r="AJ824" s="1"/>
      <c r="AK824" s="1"/>
      <c r="AL824" s="1"/>
      <c r="AM824" s="1"/>
      <c r="AN824" s="1"/>
      <c r="AO824" s="1"/>
      <c r="AP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4"/>
      <c r="AI825" s="4"/>
      <c r="AJ825" s="1"/>
      <c r="AK825" s="1"/>
      <c r="AL825" s="1"/>
      <c r="AM825" s="1"/>
      <c r="AN825" s="1"/>
      <c r="AO825" s="1"/>
      <c r="AP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4"/>
      <c r="AI826" s="4"/>
      <c r="AJ826" s="1"/>
      <c r="AK826" s="1"/>
      <c r="AL826" s="1"/>
      <c r="AM826" s="1"/>
      <c r="AN826" s="1"/>
      <c r="AO826" s="1"/>
      <c r="AP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4"/>
      <c r="AI827" s="4"/>
      <c r="AJ827" s="1"/>
      <c r="AK827" s="1"/>
      <c r="AL827" s="1"/>
      <c r="AM827" s="1"/>
      <c r="AN827" s="1"/>
      <c r="AO827" s="1"/>
      <c r="AP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4"/>
      <c r="AI828" s="4"/>
      <c r="AJ828" s="1"/>
      <c r="AK828" s="1"/>
      <c r="AL828" s="1"/>
      <c r="AM828" s="1"/>
      <c r="AN828" s="1"/>
      <c r="AO828" s="1"/>
      <c r="AP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4"/>
      <c r="AI829" s="4"/>
      <c r="AJ829" s="1"/>
      <c r="AK829" s="1"/>
      <c r="AL829" s="1"/>
      <c r="AM829" s="1"/>
      <c r="AN829" s="1"/>
      <c r="AO829" s="1"/>
      <c r="AP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4"/>
      <c r="AI830" s="4"/>
      <c r="AJ830" s="1"/>
      <c r="AK830" s="1"/>
      <c r="AL830" s="1"/>
      <c r="AM830" s="1"/>
      <c r="AN830" s="1"/>
      <c r="AO830" s="1"/>
      <c r="AP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4"/>
      <c r="AI831" s="4"/>
      <c r="AJ831" s="1"/>
      <c r="AK831" s="1"/>
      <c r="AL831" s="1"/>
      <c r="AM831" s="1"/>
      <c r="AN831" s="1"/>
      <c r="AO831" s="1"/>
      <c r="AP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4"/>
      <c r="AI832" s="4"/>
      <c r="AJ832" s="1"/>
      <c r="AK832" s="1"/>
      <c r="AL832" s="1"/>
      <c r="AM832" s="1"/>
      <c r="AN832" s="1"/>
      <c r="AO832" s="1"/>
      <c r="AP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4"/>
      <c r="AI833" s="4"/>
      <c r="AJ833" s="1"/>
      <c r="AK833" s="1"/>
      <c r="AL833" s="1"/>
      <c r="AM833" s="1"/>
      <c r="AN833" s="1"/>
      <c r="AO833" s="1"/>
      <c r="AP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4"/>
      <c r="AI834" s="4"/>
      <c r="AJ834" s="1"/>
      <c r="AK834" s="1"/>
      <c r="AL834" s="1"/>
      <c r="AM834" s="1"/>
      <c r="AN834" s="1"/>
      <c r="AO834" s="1"/>
      <c r="AP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4"/>
      <c r="AI835" s="4"/>
      <c r="AJ835" s="1"/>
      <c r="AK835" s="1"/>
      <c r="AL835" s="1"/>
      <c r="AM835" s="1"/>
      <c r="AN835" s="1"/>
      <c r="AO835" s="1"/>
      <c r="AP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4"/>
      <c r="AI836" s="4"/>
      <c r="AJ836" s="1"/>
      <c r="AK836" s="1"/>
      <c r="AL836" s="1"/>
      <c r="AM836" s="1"/>
      <c r="AN836" s="1"/>
      <c r="AO836" s="1"/>
      <c r="AP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4"/>
      <c r="AI837" s="4"/>
      <c r="AJ837" s="1"/>
      <c r="AK837" s="1"/>
      <c r="AL837" s="1"/>
      <c r="AM837" s="1"/>
      <c r="AN837" s="1"/>
      <c r="AO837" s="1"/>
      <c r="AP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4"/>
      <c r="AI838" s="4"/>
      <c r="AJ838" s="1"/>
      <c r="AK838" s="1"/>
      <c r="AL838" s="1"/>
      <c r="AM838" s="1"/>
      <c r="AN838" s="1"/>
      <c r="AO838" s="1"/>
      <c r="AP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4"/>
      <c r="AI839" s="4"/>
      <c r="AJ839" s="1"/>
      <c r="AK839" s="1"/>
      <c r="AL839" s="1"/>
      <c r="AM839" s="1"/>
      <c r="AN839" s="1"/>
      <c r="AO839" s="1"/>
      <c r="AP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4"/>
      <c r="AI840" s="4"/>
      <c r="AJ840" s="1"/>
      <c r="AK840" s="1"/>
      <c r="AL840" s="1"/>
      <c r="AM840" s="1"/>
      <c r="AN840" s="1"/>
      <c r="AO840" s="1"/>
      <c r="AP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4"/>
      <c r="AI841" s="4"/>
      <c r="AJ841" s="1"/>
      <c r="AK841" s="1"/>
      <c r="AL841" s="1"/>
      <c r="AM841" s="1"/>
      <c r="AN841" s="1"/>
      <c r="AO841" s="1"/>
      <c r="AP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4"/>
      <c r="AI842" s="4"/>
      <c r="AJ842" s="1"/>
      <c r="AK842" s="1"/>
      <c r="AL842" s="1"/>
      <c r="AM842" s="1"/>
      <c r="AN842" s="1"/>
      <c r="AO842" s="1"/>
      <c r="AP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4"/>
      <c r="AI843" s="4"/>
      <c r="AJ843" s="1"/>
      <c r="AK843" s="1"/>
      <c r="AL843" s="1"/>
      <c r="AM843" s="1"/>
      <c r="AN843" s="1"/>
      <c r="AO843" s="1"/>
      <c r="AP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4"/>
      <c r="AI844" s="4"/>
      <c r="AJ844" s="1"/>
      <c r="AK844" s="1"/>
      <c r="AL844" s="1"/>
      <c r="AM844" s="1"/>
      <c r="AN844" s="1"/>
      <c r="AO844" s="1"/>
      <c r="AP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4"/>
      <c r="AI845" s="4"/>
      <c r="AJ845" s="1"/>
      <c r="AK845" s="1"/>
      <c r="AL845" s="1"/>
      <c r="AM845" s="1"/>
      <c r="AN845" s="1"/>
      <c r="AO845" s="1"/>
      <c r="AP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4"/>
      <c r="AI846" s="4"/>
      <c r="AJ846" s="1"/>
      <c r="AK846" s="1"/>
      <c r="AL846" s="1"/>
      <c r="AM846" s="1"/>
      <c r="AN846" s="1"/>
      <c r="AO846" s="1"/>
      <c r="AP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4"/>
      <c r="AI847" s="4"/>
      <c r="AJ847" s="1"/>
      <c r="AK847" s="1"/>
      <c r="AL847" s="1"/>
      <c r="AM847" s="1"/>
      <c r="AN847" s="1"/>
      <c r="AO847" s="1"/>
      <c r="AP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4"/>
      <c r="AI848" s="4"/>
      <c r="AJ848" s="1"/>
      <c r="AK848" s="1"/>
      <c r="AL848" s="1"/>
      <c r="AM848" s="1"/>
      <c r="AN848" s="1"/>
      <c r="AO848" s="1"/>
      <c r="AP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4"/>
      <c r="AI849" s="4"/>
      <c r="AJ849" s="1"/>
      <c r="AK849" s="1"/>
      <c r="AL849" s="1"/>
      <c r="AM849" s="1"/>
      <c r="AN849" s="1"/>
      <c r="AO849" s="1"/>
      <c r="AP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4"/>
      <c r="AI850" s="4"/>
      <c r="AJ850" s="1"/>
      <c r="AK850" s="1"/>
      <c r="AL850" s="1"/>
      <c r="AM850" s="1"/>
      <c r="AN850" s="1"/>
      <c r="AO850" s="1"/>
      <c r="AP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4"/>
      <c r="AI851" s="4"/>
      <c r="AJ851" s="1"/>
      <c r="AK851" s="1"/>
      <c r="AL851" s="1"/>
      <c r="AM851" s="1"/>
      <c r="AN851" s="1"/>
      <c r="AO851" s="1"/>
      <c r="AP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4"/>
      <c r="AI852" s="4"/>
      <c r="AJ852" s="1"/>
      <c r="AK852" s="1"/>
      <c r="AL852" s="1"/>
      <c r="AM852" s="1"/>
      <c r="AN852" s="1"/>
      <c r="AO852" s="1"/>
      <c r="AP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4"/>
      <c r="AI853" s="4"/>
      <c r="AJ853" s="1"/>
      <c r="AK853" s="1"/>
      <c r="AL853" s="1"/>
      <c r="AM853" s="1"/>
      <c r="AN853" s="1"/>
      <c r="AO853" s="1"/>
      <c r="AP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4"/>
      <c r="AI854" s="4"/>
      <c r="AJ854" s="1"/>
      <c r="AK854" s="1"/>
      <c r="AL854" s="1"/>
      <c r="AM854" s="1"/>
      <c r="AN854" s="1"/>
      <c r="AO854" s="1"/>
      <c r="AP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4"/>
      <c r="AI855" s="4"/>
      <c r="AJ855" s="1"/>
      <c r="AK855" s="1"/>
      <c r="AL855" s="1"/>
      <c r="AM855" s="1"/>
      <c r="AN855" s="1"/>
      <c r="AO855" s="1"/>
      <c r="AP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4"/>
      <c r="AI856" s="4"/>
      <c r="AJ856" s="1"/>
      <c r="AK856" s="1"/>
      <c r="AL856" s="1"/>
      <c r="AM856" s="1"/>
      <c r="AN856" s="1"/>
      <c r="AO856" s="1"/>
      <c r="AP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4"/>
      <c r="AI857" s="4"/>
      <c r="AJ857" s="1"/>
      <c r="AK857" s="1"/>
      <c r="AL857" s="1"/>
      <c r="AM857" s="1"/>
      <c r="AN857" s="1"/>
      <c r="AO857" s="1"/>
      <c r="AP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4"/>
      <c r="AI858" s="4"/>
      <c r="AJ858" s="1"/>
      <c r="AK858" s="1"/>
      <c r="AL858" s="1"/>
      <c r="AM858" s="1"/>
      <c r="AN858" s="1"/>
      <c r="AO858" s="1"/>
      <c r="AP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4"/>
      <c r="AI859" s="4"/>
      <c r="AJ859" s="1"/>
      <c r="AK859" s="1"/>
      <c r="AL859" s="1"/>
      <c r="AM859" s="1"/>
      <c r="AN859" s="1"/>
      <c r="AO859" s="1"/>
      <c r="AP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4"/>
      <c r="AI860" s="4"/>
      <c r="AJ860" s="1"/>
      <c r="AK860" s="1"/>
      <c r="AL860" s="1"/>
      <c r="AM860" s="1"/>
      <c r="AN860" s="1"/>
      <c r="AO860" s="1"/>
      <c r="AP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4"/>
      <c r="AI861" s="4"/>
      <c r="AJ861" s="1"/>
      <c r="AK861" s="1"/>
      <c r="AL861" s="1"/>
      <c r="AM861" s="1"/>
      <c r="AN861" s="1"/>
      <c r="AO861" s="1"/>
      <c r="AP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4"/>
      <c r="AI862" s="4"/>
      <c r="AJ862" s="1"/>
      <c r="AK862" s="1"/>
      <c r="AL862" s="1"/>
      <c r="AM862" s="1"/>
      <c r="AN862" s="1"/>
      <c r="AO862" s="1"/>
      <c r="AP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4"/>
      <c r="AI863" s="4"/>
      <c r="AJ863" s="1"/>
      <c r="AK863" s="1"/>
      <c r="AL863" s="1"/>
      <c r="AM863" s="1"/>
      <c r="AN863" s="1"/>
      <c r="AO863" s="1"/>
      <c r="AP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4"/>
      <c r="AI864" s="4"/>
      <c r="AJ864" s="1"/>
      <c r="AK864" s="1"/>
      <c r="AL864" s="1"/>
      <c r="AM864" s="1"/>
      <c r="AN864" s="1"/>
      <c r="AO864" s="1"/>
      <c r="AP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4"/>
      <c r="AI865" s="4"/>
      <c r="AJ865" s="1"/>
      <c r="AK865" s="1"/>
      <c r="AL865" s="1"/>
      <c r="AM865" s="1"/>
      <c r="AN865" s="1"/>
      <c r="AO865" s="1"/>
      <c r="AP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4"/>
      <c r="AI866" s="4"/>
      <c r="AJ866" s="1"/>
      <c r="AK866" s="1"/>
      <c r="AL866" s="1"/>
      <c r="AM866" s="1"/>
      <c r="AN866" s="1"/>
      <c r="AO866" s="1"/>
      <c r="AP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4"/>
      <c r="AI867" s="4"/>
      <c r="AJ867" s="1"/>
      <c r="AK867" s="1"/>
      <c r="AL867" s="1"/>
      <c r="AM867" s="1"/>
      <c r="AN867" s="1"/>
      <c r="AO867" s="1"/>
      <c r="AP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4"/>
      <c r="AI868" s="4"/>
      <c r="AJ868" s="1"/>
      <c r="AK868" s="1"/>
      <c r="AL868" s="1"/>
      <c r="AM868" s="1"/>
      <c r="AN868" s="1"/>
      <c r="AO868" s="1"/>
      <c r="AP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4"/>
      <c r="AI869" s="4"/>
      <c r="AJ869" s="1"/>
      <c r="AK869" s="1"/>
      <c r="AL869" s="1"/>
      <c r="AM869" s="1"/>
      <c r="AN869" s="1"/>
      <c r="AO869" s="1"/>
      <c r="AP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4"/>
      <c r="AI870" s="4"/>
      <c r="AJ870" s="1"/>
      <c r="AK870" s="1"/>
      <c r="AL870" s="1"/>
      <c r="AM870" s="1"/>
      <c r="AN870" s="1"/>
      <c r="AO870" s="1"/>
      <c r="AP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4"/>
      <c r="AI871" s="4"/>
      <c r="AJ871" s="1"/>
      <c r="AK871" s="1"/>
      <c r="AL871" s="1"/>
      <c r="AM871" s="1"/>
      <c r="AN871" s="1"/>
      <c r="AO871" s="1"/>
      <c r="AP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4"/>
      <c r="AI872" s="4"/>
      <c r="AJ872" s="1"/>
      <c r="AK872" s="1"/>
      <c r="AL872" s="1"/>
      <c r="AM872" s="1"/>
      <c r="AN872" s="1"/>
      <c r="AO872" s="1"/>
      <c r="AP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4"/>
      <c r="AI873" s="4"/>
      <c r="AJ873" s="1"/>
      <c r="AK873" s="1"/>
      <c r="AL873" s="1"/>
      <c r="AM873" s="1"/>
      <c r="AN873" s="1"/>
      <c r="AO873" s="1"/>
      <c r="AP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4"/>
      <c r="AI874" s="4"/>
      <c r="AJ874" s="1"/>
      <c r="AK874" s="1"/>
      <c r="AL874" s="1"/>
      <c r="AM874" s="1"/>
      <c r="AN874" s="1"/>
      <c r="AO874" s="1"/>
      <c r="AP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4"/>
      <c r="AI875" s="4"/>
      <c r="AJ875" s="1"/>
      <c r="AK875" s="1"/>
      <c r="AL875" s="1"/>
      <c r="AM875" s="1"/>
      <c r="AN875" s="1"/>
      <c r="AO875" s="1"/>
      <c r="AP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4"/>
      <c r="AI876" s="4"/>
      <c r="AJ876" s="1"/>
      <c r="AK876" s="1"/>
      <c r="AL876" s="1"/>
      <c r="AM876" s="1"/>
      <c r="AN876" s="1"/>
      <c r="AO876" s="1"/>
      <c r="AP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4"/>
      <c r="AI877" s="4"/>
      <c r="AJ877" s="1"/>
      <c r="AK877" s="1"/>
      <c r="AL877" s="1"/>
      <c r="AM877" s="1"/>
      <c r="AN877" s="1"/>
      <c r="AO877" s="1"/>
      <c r="AP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4"/>
      <c r="AI878" s="4"/>
      <c r="AJ878" s="1"/>
      <c r="AK878" s="1"/>
      <c r="AL878" s="1"/>
      <c r="AM878" s="1"/>
      <c r="AN878" s="1"/>
      <c r="AO878" s="1"/>
      <c r="AP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4"/>
      <c r="AI879" s="4"/>
      <c r="AJ879" s="1"/>
      <c r="AK879" s="1"/>
      <c r="AL879" s="1"/>
      <c r="AM879" s="1"/>
      <c r="AN879" s="1"/>
      <c r="AO879" s="1"/>
      <c r="AP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4"/>
      <c r="AI880" s="4"/>
      <c r="AJ880" s="1"/>
      <c r="AK880" s="1"/>
      <c r="AL880" s="1"/>
      <c r="AM880" s="1"/>
      <c r="AN880" s="1"/>
      <c r="AO880" s="1"/>
      <c r="AP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4"/>
      <c r="AI881" s="4"/>
      <c r="AJ881" s="1"/>
      <c r="AK881" s="1"/>
      <c r="AL881" s="1"/>
      <c r="AM881" s="1"/>
      <c r="AN881" s="1"/>
      <c r="AO881" s="1"/>
      <c r="AP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4"/>
      <c r="AI882" s="4"/>
      <c r="AJ882" s="1"/>
      <c r="AK882" s="1"/>
      <c r="AL882" s="1"/>
      <c r="AM882" s="1"/>
      <c r="AN882" s="1"/>
      <c r="AO882" s="1"/>
      <c r="AP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4"/>
      <c r="AI883" s="4"/>
      <c r="AJ883" s="1"/>
      <c r="AK883" s="1"/>
      <c r="AL883" s="1"/>
      <c r="AM883" s="1"/>
      <c r="AN883" s="1"/>
      <c r="AO883" s="1"/>
      <c r="AP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4"/>
      <c r="AI884" s="4"/>
      <c r="AJ884" s="1"/>
      <c r="AK884" s="1"/>
      <c r="AL884" s="1"/>
      <c r="AM884" s="1"/>
      <c r="AN884" s="1"/>
      <c r="AO884" s="1"/>
      <c r="AP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4"/>
      <c r="AI885" s="4"/>
      <c r="AJ885" s="1"/>
      <c r="AK885" s="1"/>
      <c r="AL885" s="1"/>
      <c r="AM885" s="1"/>
      <c r="AN885" s="1"/>
      <c r="AO885" s="1"/>
      <c r="AP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4"/>
      <c r="AI886" s="4"/>
      <c r="AJ886" s="1"/>
      <c r="AK886" s="1"/>
      <c r="AL886" s="1"/>
      <c r="AM886" s="1"/>
      <c r="AN886" s="1"/>
      <c r="AO886" s="1"/>
      <c r="AP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4"/>
      <c r="AI887" s="4"/>
      <c r="AJ887" s="1"/>
      <c r="AK887" s="1"/>
      <c r="AL887" s="1"/>
      <c r="AM887" s="1"/>
      <c r="AN887" s="1"/>
      <c r="AO887" s="1"/>
      <c r="AP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4"/>
      <c r="AI888" s="4"/>
      <c r="AJ888" s="1"/>
      <c r="AK888" s="1"/>
      <c r="AL888" s="1"/>
      <c r="AM888" s="1"/>
      <c r="AN888" s="1"/>
      <c r="AO888" s="1"/>
      <c r="AP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4"/>
      <c r="AI889" s="4"/>
      <c r="AJ889" s="1"/>
      <c r="AK889" s="1"/>
      <c r="AL889" s="1"/>
      <c r="AM889" s="1"/>
      <c r="AN889" s="1"/>
      <c r="AO889" s="1"/>
      <c r="AP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4"/>
      <c r="AI890" s="4"/>
      <c r="AJ890" s="1"/>
      <c r="AK890" s="1"/>
      <c r="AL890" s="1"/>
      <c r="AM890" s="1"/>
      <c r="AN890" s="1"/>
      <c r="AO890" s="1"/>
      <c r="AP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4"/>
      <c r="AI891" s="4"/>
      <c r="AJ891" s="1"/>
      <c r="AK891" s="1"/>
      <c r="AL891" s="1"/>
      <c r="AM891" s="1"/>
      <c r="AN891" s="1"/>
      <c r="AO891" s="1"/>
      <c r="AP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4"/>
      <c r="AI892" s="4"/>
      <c r="AJ892" s="1"/>
      <c r="AK892" s="1"/>
      <c r="AL892" s="1"/>
      <c r="AM892" s="1"/>
      <c r="AN892" s="1"/>
      <c r="AO892" s="1"/>
      <c r="AP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4"/>
      <c r="AI893" s="4"/>
      <c r="AJ893" s="1"/>
      <c r="AK893" s="1"/>
      <c r="AL893" s="1"/>
      <c r="AM893" s="1"/>
      <c r="AN893" s="1"/>
      <c r="AO893" s="1"/>
      <c r="AP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4"/>
      <c r="AI894" s="4"/>
      <c r="AJ894" s="1"/>
      <c r="AK894" s="1"/>
      <c r="AL894" s="1"/>
      <c r="AM894" s="1"/>
      <c r="AN894" s="1"/>
      <c r="AO894" s="1"/>
      <c r="AP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4"/>
      <c r="AI895" s="4"/>
      <c r="AJ895" s="1"/>
      <c r="AK895" s="1"/>
      <c r="AL895" s="1"/>
      <c r="AM895" s="1"/>
      <c r="AN895" s="1"/>
      <c r="AO895" s="1"/>
      <c r="AP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4"/>
      <c r="AI896" s="4"/>
      <c r="AJ896" s="1"/>
      <c r="AK896" s="1"/>
      <c r="AL896" s="1"/>
      <c r="AM896" s="1"/>
      <c r="AN896" s="1"/>
      <c r="AO896" s="1"/>
      <c r="AP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4"/>
      <c r="AI897" s="4"/>
      <c r="AJ897" s="1"/>
      <c r="AK897" s="1"/>
      <c r="AL897" s="1"/>
      <c r="AM897" s="1"/>
      <c r="AN897" s="1"/>
      <c r="AO897" s="1"/>
      <c r="AP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4"/>
      <c r="AI898" s="4"/>
      <c r="AJ898" s="1"/>
      <c r="AK898" s="1"/>
      <c r="AL898" s="1"/>
      <c r="AM898" s="1"/>
      <c r="AN898" s="1"/>
      <c r="AO898" s="1"/>
      <c r="AP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4"/>
      <c r="AI899" s="4"/>
      <c r="AJ899" s="1"/>
      <c r="AK899" s="1"/>
      <c r="AL899" s="1"/>
      <c r="AM899" s="1"/>
      <c r="AN899" s="1"/>
      <c r="AO899" s="1"/>
      <c r="AP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4"/>
      <c r="AI900" s="4"/>
      <c r="AJ900" s="1"/>
      <c r="AK900" s="1"/>
      <c r="AL900" s="1"/>
      <c r="AM900" s="1"/>
      <c r="AN900" s="1"/>
      <c r="AO900" s="1"/>
      <c r="AP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4"/>
      <c r="AI901" s="4"/>
      <c r="AJ901" s="1"/>
      <c r="AK901" s="1"/>
      <c r="AL901" s="1"/>
      <c r="AM901" s="1"/>
      <c r="AN901" s="1"/>
      <c r="AO901" s="1"/>
      <c r="AP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4"/>
      <c r="AI902" s="4"/>
      <c r="AJ902" s="1"/>
      <c r="AK902" s="1"/>
      <c r="AL902" s="1"/>
      <c r="AM902" s="1"/>
      <c r="AN902" s="1"/>
      <c r="AO902" s="1"/>
      <c r="AP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4"/>
      <c r="AI903" s="4"/>
      <c r="AJ903" s="1"/>
      <c r="AK903" s="1"/>
      <c r="AL903" s="1"/>
      <c r="AM903" s="1"/>
      <c r="AN903" s="1"/>
      <c r="AO903" s="1"/>
      <c r="AP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4"/>
      <c r="AI904" s="4"/>
      <c r="AJ904" s="1"/>
      <c r="AK904" s="1"/>
      <c r="AL904" s="1"/>
      <c r="AM904" s="1"/>
      <c r="AN904" s="1"/>
      <c r="AO904" s="1"/>
      <c r="AP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4"/>
      <c r="AI905" s="4"/>
      <c r="AJ905" s="1"/>
      <c r="AK905" s="1"/>
      <c r="AL905" s="1"/>
      <c r="AM905" s="1"/>
      <c r="AN905" s="1"/>
      <c r="AO905" s="1"/>
      <c r="AP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4"/>
      <c r="AI906" s="4"/>
      <c r="AJ906" s="1"/>
      <c r="AK906" s="1"/>
      <c r="AL906" s="1"/>
      <c r="AM906" s="1"/>
      <c r="AN906" s="1"/>
      <c r="AO906" s="1"/>
      <c r="AP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4"/>
      <c r="AI907" s="4"/>
      <c r="AJ907" s="1"/>
      <c r="AK907" s="1"/>
      <c r="AL907" s="1"/>
      <c r="AM907" s="1"/>
      <c r="AN907" s="1"/>
      <c r="AO907" s="1"/>
      <c r="AP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4"/>
      <c r="AI908" s="4"/>
      <c r="AJ908" s="1"/>
      <c r="AK908" s="1"/>
      <c r="AL908" s="1"/>
      <c r="AM908" s="1"/>
      <c r="AN908" s="1"/>
      <c r="AO908" s="1"/>
      <c r="AP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4"/>
      <c r="AI909" s="4"/>
      <c r="AJ909" s="1"/>
      <c r="AK909" s="1"/>
      <c r="AL909" s="1"/>
      <c r="AM909" s="1"/>
      <c r="AN909" s="1"/>
      <c r="AO909" s="1"/>
      <c r="AP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4"/>
      <c r="AI910" s="4"/>
      <c r="AJ910" s="1"/>
      <c r="AK910" s="1"/>
      <c r="AL910" s="1"/>
      <c r="AM910" s="1"/>
      <c r="AN910" s="1"/>
      <c r="AO910" s="1"/>
      <c r="AP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4"/>
      <c r="AI911" s="4"/>
      <c r="AJ911" s="1"/>
      <c r="AK911" s="1"/>
      <c r="AL911" s="1"/>
      <c r="AM911" s="1"/>
      <c r="AN911" s="1"/>
      <c r="AO911" s="1"/>
      <c r="AP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4"/>
      <c r="AI912" s="4"/>
      <c r="AJ912" s="1"/>
      <c r="AK912" s="1"/>
      <c r="AL912" s="1"/>
      <c r="AM912" s="1"/>
      <c r="AN912" s="1"/>
      <c r="AO912" s="1"/>
      <c r="AP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4"/>
      <c r="AI913" s="4"/>
      <c r="AJ913" s="1"/>
      <c r="AK913" s="1"/>
      <c r="AL913" s="1"/>
      <c r="AM913" s="1"/>
      <c r="AN913" s="1"/>
      <c r="AO913" s="1"/>
      <c r="AP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4"/>
      <c r="AI914" s="4"/>
      <c r="AJ914" s="1"/>
      <c r="AK914" s="1"/>
      <c r="AL914" s="1"/>
      <c r="AM914" s="1"/>
      <c r="AN914" s="1"/>
      <c r="AO914" s="1"/>
      <c r="AP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4"/>
      <c r="AI915" s="4"/>
      <c r="AJ915" s="1"/>
      <c r="AK915" s="1"/>
      <c r="AL915" s="1"/>
      <c r="AM915" s="1"/>
      <c r="AN915" s="1"/>
      <c r="AO915" s="1"/>
      <c r="AP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4"/>
      <c r="AI916" s="4"/>
      <c r="AJ916" s="1"/>
      <c r="AK916" s="1"/>
      <c r="AL916" s="1"/>
      <c r="AM916" s="1"/>
      <c r="AN916" s="1"/>
      <c r="AO916" s="1"/>
      <c r="AP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4"/>
      <c r="AI917" s="4"/>
      <c r="AJ917" s="1"/>
      <c r="AK917" s="1"/>
      <c r="AL917" s="1"/>
      <c r="AM917" s="1"/>
      <c r="AN917" s="1"/>
      <c r="AO917" s="1"/>
      <c r="AP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4"/>
      <c r="AI918" s="4"/>
      <c r="AJ918" s="1"/>
      <c r="AK918" s="1"/>
      <c r="AL918" s="1"/>
      <c r="AM918" s="1"/>
      <c r="AN918" s="1"/>
      <c r="AO918" s="1"/>
      <c r="AP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4"/>
      <c r="AI919" s="4"/>
      <c r="AJ919" s="1"/>
      <c r="AK919" s="1"/>
      <c r="AL919" s="1"/>
      <c r="AM919" s="1"/>
      <c r="AN919" s="1"/>
      <c r="AO919" s="1"/>
      <c r="AP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4"/>
      <c r="AI920" s="4"/>
      <c r="AJ920" s="1"/>
      <c r="AK920" s="1"/>
      <c r="AL920" s="1"/>
      <c r="AM920" s="1"/>
      <c r="AN920" s="1"/>
      <c r="AO920" s="1"/>
      <c r="AP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4"/>
      <c r="AI921" s="4"/>
      <c r="AJ921" s="1"/>
      <c r="AK921" s="1"/>
      <c r="AL921" s="1"/>
      <c r="AM921" s="1"/>
      <c r="AN921" s="1"/>
      <c r="AO921" s="1"/>
      <c r="AP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4"/>
      <c r="AI922" s="4"/>
      <c r="AJ922" s="1"/>
      <c r="AK922" s="1"/>
      <c r="AL922" s="1"/>
      <c r="AM922" s="1"/>
      <c r="AN922" s="1"/>
      <c r="AO922" s="1"/>
      <c r="AP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4"/>
      <c r="AI923" s="4"/>
      <c r="AJ923" s="1"/>
      <c r="AK923" s="1"/>
      <c r="AL923" s="1"/>
      <c r="AM923" s="1"/>
      <c r="AN923" s="1"/>
      <c r="AO923" s="1"/>
      <c r="AP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4"/>
      <c r="AI924" s="4"/>
      <c r="AJ924" s="1"/>
      <c r="AK924" s="1"/>
      <c r="AL924" s="1"/>
      <c r="AM924" s="1"/>
      <c r="AN924" s="1"/>
      <c r="AO924" s="1"/>
      <c r="AP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4"/>
      <c r="AI925" s="4"/>
      <c r="AJ925" s="1"/>
      <c r="AK925" s="1"/>
      <c r="AL925" s="1"/>
      <c r="AM925" s="1"/>
      <c r="AN925" s="1"/>
      <c r="AO925" s="1"/>
      <c r="AP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4"/>
      <c r="AI926" s="4"/>
      <c r="AJ926" s="1"/>
      <c r="AK926" s="1"/>
      <c r="AL926" s="1"/>
      <c r="AM926" s="1"/>
      <c r="AN926" s="1"/>
      <c r="AO926" s="1"/>
      <c r="AP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4"/>
      <c r="AI927" s="4"/>
      <c r="AJ927" s="1"/>
      <c r="AK927" s="1"/>
      <c r="AL927" s="1"/>
      <c r="AM927" s="1"/>
      <c r="AN927" s="1"/>
      <c r="AO927" s="1"/>
      <c r="AP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4"/>
      <c r="AI928" s="4"/>
      <c r="AJ928" s="1"/>
      <c r="AK928" s="1"/>
      <c r="AL928" s="1"/>
      <c r="AM928" s="1"/>
      <c r="AN928" s="1"/>
      <c r="AO928" s="1"/>
      <c r="AP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4"/>
      <c r="AI929" s="4"/>
      <c r="AJ929" s="1"/>
      <c r="AK929" s="1"/>
      <c r="AL929" s="1"/>
      <c r="AM929" s="1"/>
      <c r="AN929" s="1"/>
      <c r="AO929" s="1"/>
      <c r="AP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4"/>
      <c r="AI930" s="4"/>
      <c r="AJ930" s="1"/>
      <c r="AK930" s="1"/>
      <c r="AL930" s="1"/>
      <c r="AM930" s="1"/>
      <c r="AN930" s="1"/>
      <c r="AO930" s="1"/>
      <c r="AP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4"/>
      <c r="AI931" s="4"/>
      <c r="AJ931" s="1"/>
      <c r="AK931" s="1"/>
      <c r="AL931" s="1"/>
      <c r="AM931" s="1"/>
      <c r="AN931" s="1"/>
      <c r="AO931" s="1"/>
      <c r="AP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4"/>
      <c r="AI932" s="4"/>
      <c r="AJ932" s="1"/>
      <c r="AK932" s="1"/>
      <c r="AL932" s="1"/>
      <c r="AM932" s="1"/>
      <c r="AN932" s="1"/>
      <c r="AO932" s="1"/>
      <c r="AP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4"/>
      <c r="AI933" s="4"/>
      <c r="AJ933" s="1"/>
      <c r="AK933" s="1"/>
      <c r="AL933" s="1"/>
      <c r="AM933" s="1"/>
      <c r="AN933" s="1"/>
      <c r="AO933" s="1"/>
      <c r="AP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4"/>
      <c r="AI934" s="4"/>
      <c r="AJ934" s="1"/>
      <c r="AK934" s="1"/>
      <c r="AL934" s="1"/>
      <c r="AM934" s="1"/>
      <c r="AN934" s="1"/>
      <c r="AO934" s="1"/>
      <c r="AP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4"/>
      <c r="AI935" s="4"/>
      <c r="AJ935" s="1"/>
      <c r="AK935" s="1"/>
      <c r="AL935" s="1"/>
      <c r="AM935" s="1"/>
      <c r="AN935" s="1"/>
      <c r="AO935" s="1"/>
      <c r="AP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4"/>
      <c r="AI936" s="4"/>
      <c r="AJ936" s="1"/>
      <c r="AK936" s="1"/>
      <c r="AL936" s="1"/>
      <c r="AM936" s="1"/>
      <c r="AN936" s="1"/>
      <c r="AO936" s="1"/>
      <c r="AP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4"/>
      <c r="AI937" s="4"/>
      <c r="AJ937" s="1"/>
      <c r="AK937" s="1"/>
      <c r="AL937" s="1"/>
      <c r="AM937" s="1"/>
      <c r="AN937" s="1"/>
      <c r="AO937" s="1"/>
      <c r="AP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4"/>
      <c r="AI938" s="4"/>
      <c r="AJ938" s="1"/>
      <c r="AK938" s="1"/>
      <c r="AL938" s="1"/>
      <c r="AM938" s="1"/>
      <c r="AN938" s="1"/>
      <c r="AO938" s="1"/>
      <c r="AP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4"/>
      <c r="AI939" s="4"/>
      <c r="AJ939" s="1"/>
      <c r="AK939" s="1"/>
      <c r="AL939" s="1"/>
      <c r="AM939" s="1"/>
      <c r="AN939" s="1"/>
      <c r="AO939" s="1"/>
      <c r="AP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4"/>
      <c r="AI940" s="4"/>
      <c r="AJ940" s="1"/>
      <c r="AK940" s="1"/>
      <c r="AL940" s="1"/>
      <c r="AM940" s="1"/>
      <c r="AN940" s="1"/>
      <c r="AO940" s="1"/>
      <c r="AP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4"/>
      <c r="AI941" s="4"/>
      <c r="AJ941" s="1"/>
      <c r="AK941" s="1"/>
      <c r="AL941" s="1"/>
      <c r="AM941" s="1"/>
      <c r="AN941" s="1"/>
      <c r="AO941" s="1"/>
      <c r="AP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4"/>
      <c r="AI942" s="4"/>
      <c r="AJ942" s="1"/>
      <c r="AK942" s="1"/>
      <c r="AL942" s="1"/>
      <c r="AM942" s="1"/>
      <c r="AN942" s="1"/>
      <c r="AO942" s="1"/>
      <c r="AP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4"/>
      <c r="AI943" s="4"/>
      <c r="AJ943" s="1"/>
      <c r="AK943" s="1"/>
      <c r="AL943" s="1"/>
      <c r="AM943" s="1"/>
      <c r="AN943" s="1"/>
      <c r="AO943" s="1"/>
      <c r="AP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4"/>
      <c r="AI944" s="4"/>
      <c r="AJ944" s="1"/>
      <c r="AK944" s="1"/>
      <c r="AL944" s="1"/>
      <c r="AM944" s="1"/>
      <c r="AN944" s="1"/>
      <c r="AO944" s="1"/>
      <c r="AP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4"/>
      <c r="AI945" s="4"/>
      <c r="AJ945" s="1"/>
      <c r="AK945" s="1"/>
      <c r="AL945" s="1"/>
      <c r="AM945" s="1"/>
      <c r="AN945" s="1"/>
      <c r="AO945" s="1"/>
      <c r="AP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4"/>
      <c r="AI946" s="4"/>
      <c r="AJ946" s="1"/>
      <c r="AK946" s="1"/>
      <c r="AL946" s="1"/>
      <c r="AM946" s="1"/>
      <c r="AN946" s="1"/>
      <c r="AO946" s="1"/>
      <c r="AP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4"/>
      <c r="AI947" s="4"/>
      <c r="AJ947" s="1"/>
      <c r="AK947" s="1"/>
      <c r="AL947" s="1"/>
      <c r="AM947" s="1"/>
      <c r="AN947" s="1"/>
      <c r="AO947" s="1"/>
      <c r="AP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4"/>
      <c r="AI948" s="4"/>
      <c r="AJ948" s="1"/>
      <c r="AK948" s="1"/>
      <c r="AL948" s="1"/>
      <c r="AM948" s="1"/>
      <c r="AN948" s="1"/>
      <c r="AO948" s="1"/>
      <c r="AP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4"/>
      <c r="AI949" s="4"/>
      <c r="AJ949" s="1"/>
      <c r="AK949" s="1"/>
      <c r="AL949" s="1"/>
      <c r="AM949" s="1"/>
      <c r="AN949" s="1"/>
      <c r="AO949" s="1"/>
      <c r="AP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4"/>
      <c r="AI950" s="4"/>
      <c r="AJ950" s="1"/>
      <c r="AK950" s="1"/>
      <c r="AL950" s="1"/>
      <c r="AM950" s="1"/>
      <c r="AN950" s="1"/>
      <c r="AO950" s="1"/>
      <c r="AP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4"/>
      <c r="AI951" s="4"/>
      <c r="AJ951" s="1"/>
      <c r="AK951" s="1"/>
      <c r="AL951" s="1"/>
      <c r="AM951" s="1"/>
      <c r="AN951" s="1"/>
      <c r="AO951" s="1"/>
      <c r="AP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4"/>
      <c r="AI952" s="4"/>
      <c r="AJ952" s="1"/>
      <c r="AK952" s="1"/>
      <c r="AL952" s="1"/>
      <c r="AM952" s="1"/>
      <c r="AN952" s="1"/>
      <c r="AO952" s="1"/>
      <c r="AP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4"/>
      <c r="AI953" s="4"/>
      <c r="AJ953" s="1"/>
      <c r="AK953" s="1"/>
      <c r="AL953" s="1"/>
      <c r="AM953" s="1"/>
      <c r="AN953" s="1"/>
      <c r="AO953" s="1"/>
      <c r="AP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4"/>
      <c r="AI954" s="4"/>
      <c r="AJ954" s="1"/>
      <c r="AK954" s="1"/>
      <c r="AL954" s="1"/>
      <c r="AM954" s="1"/>
      <c r="AN954" s="1"/>
      <c r="AO954" s="1"/>
      <c r="AP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4"/>
      <c r="AI955" s="4"/>
      <c r="AJ955" s="1"/>
      <c r="AK955" s="1"/>
      <c r="AL955" s="1"/>
      <c r="AM955" s="1"/>
      <c r="AN955" s="1"/>
      <c r="AO955" s="1"/>
      <c r="AP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4"/>
      <c r="AI956" s="4"/>
      <c r="AJ956" s="1"/>
      <c r="AK956" s="1"/>
      <c r="AL956" s="1"/>
      <c r="AM956" s="1"/>
      <c r="AN956" s="1"/>
      <c r="AO956" s="1"/>
      <c r="AP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4"/>
      <c r="AI957" s="4"/>
      <c r="AJ957" s="1"/>
      <c r="AK957" s="1"/>
      <c r="AL957" s="1"/>
      <c r="AM957" s="1"/>
      <c r="AN957" s="1"/>
      <c r="AO957" s="1"/>
      <c r="AP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4"/>
      <c r="AI958" s="4"/>
      <c r="AJ958" s="1"/>
      <c r="AK958" s="1"/>
      <c r="AL958" s="1"/>
      <c r="AM958" s="1"/>
      <c r="AN958" s="1"/>
      <c r="AO958" s="1"/>
      <c r="AP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4"/>
      <c r="AI959" s="4"/>
      <c r="AJ959" s="1"/>
      <c r="AK959" s="1"/>
      <c r="AL959" s="1"/>
      <c r="AM959" s="1"/>
      <c r="AN959" s="1"/>
      <c r="AO959" s="1"/>
      <c r="AP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4"/>
      <c r="AI960" s="4"/>
      <c r="AJ960" s="1"/>
      <c r="AK960" s="1"/>
      <c r="AL960" s="1"/>
      <c r="AM960" s="1"/>
      <c r="AN960" s="1"/>
      <c r="AO960" s="1"/>
      <c r="AP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4"/>
      <c r="AI961" s="4"/>
      <c r="AJ961" s="1"/>
      <c r="AK961" s="1"/>
      <c r="AL961" s="1"/>
      <c r="AM961" s="1"/>
      <c r="AN961" s="1"/>
      <c r="AO961" s="1"/>
      <c r="AP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4"/>
      <c r="AI962" s="4"/>
      <c r="AJ962" s="1"/>
      <c r="AK962" s="1"/>
      <c r="AL962" s="1"/>
      <c r="AM962" s="1"/>
      <c r="AN962" s="1"/>
      <c r="AO962" s="1"/>
      <c r="AP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4"/>
      <c r="AI963" s="4"/>
      <c r="AJ963" s="1"/>
      <c r="AK963" s="1"/>
      <c r="AL963" s="1"/>
      <c r="AM963" s="1"/>
      <c r="AN963" s="1"/>
      <c r="AO963" s="1"/>
      <c r="AP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4"/>
      <c r="AI964" s="4"/>
      <c r="AJ964" s="1"/>
      <c r="AK964" s="1"/>
      <c r="AL964" s="1"/>
      <c r="AM964" s="1"/>
      <c r="AN964" s="1"/>
      <c r="AO964" s="1"/>
      <c r="AP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4"/>
      <c r="AI965" s="4"/>
      <c r="AJ965" s="1"/>
      <c r="AK965" s="1"/>
      <c r="AL965" s="1"/>
      <c r="AM965" s="1"/>
      <c r="AN965" s="1"/>
      <c r="AO965" s="1"/>
      <c r="AP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4"/>
      <c r="AI966" s="4"/>
      <c r="AJ966" s="1"/>
      <c r="AK966" s="1"/>
      <c r="AL966" s="1"/>
      <c r="AM966" s="1"/>
      <c r="AN966" s="1"/>
      <c r="AO966" s="1"/>
      <c r="AP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4"/>
      <c r="AI967" s="4"/>
      <c r="AJ967" s="1"/>
      <c r="AK967" s="1"/>
      <c r="AL967" s="1"/>
      <c r="AM967" s="1"/>
      <c r="AN967" s="1"/>
      <c r="AO967" s="1"/>
      <c r="AP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4"/>
      <c r="AI968" s="4"/>
      <c r="AJ968" s="1"/>
      <c r="AK968" s="1"/>
      <c r="AL968" s="1"/>
      <c r="AM968" s="1"/>
      <c r="AN968" s="1"/>
      <c r="AO968" s="1"/>
      <c r="AP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4"/>
      <c r="AI969" s="4"/>
      <c r="AJ969" s="1"/>
      <c r="AK969" s="1"/>
      <c r="AL969" s="1"/>
      <c r="AM969" s="1"/>
      <c r="AN969" s="1"/>
      <c r="AO969" s="1"/>
      <c r="AP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4"/>
      <c r="AI970" s="4"/>
      <c r="AJ970" s="1"/>
      <c r="AK970" s="1"/>
      <c r="AL970" s="1"/>
      <c r="AM970" s="1"/>
      <c r="AN970" s="1"/>
      <c r="AO970" s="1"/>
      <c r="AP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4"/>
      <c r="AI971" s="4"/>
      <c r="AJ971" s="1"/>
      <c r="AK971" s="1"/>
      <c r="AL971" s="1"/>
      <c r="AM971" s="1"/>
      <c r="AN971" s="1"/>
      <c r="AO971" s="1"/>
      <c r="AP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4"/>
      <c r="AI972" s="4"/>
      <c r="AJ972" s="1"/>
      <c r="AK972" s="1"/>
      <c r="AL972" s="1"/>
      <c r="AM972" s="1"/>
      <c r="AN972" s="1"/>
      <c r="AO972" s="1"/>
      <c r="AP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4"/>
      <c r="AI973" s="4"/>
      <c r="AJ973" s="1"/>
      <c r="AK973" s="1"/>
      <c r="AL973" s="1"/>
      <c r="AM973" s="1"/>
      <c r="AN973" s="1"/>
      <c r="AO973" s="1"/>
      <c r="AP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4"/>
      <c r="AI974" s="4"/>
      <c r="AJ974" s="1"/>
      <c r="AK974" s="1"/>
      <c r="AL974" s="1"/>
      <c r="AM974" s="1"/>
      <c r="AN974" s="1"/>
      <c r="AO974" s="1"/>
      <c r="AP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4"/>
      <c r="AI975" s="4"/>
      <c r="AJ975" s="1"/>
      <c r="AK975" s="1"/>
      <c r="AL975" s="1"/>
      <c r="AM975" s="1"/>
      <c r="AN975" s="1"/>
      <c r="AO975" s="1"/>
      <c r="AP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4"/>
      <c r="AI976" s="4"/>
      <c r="AJ976" s="1"/>
      <c r="AK976" s="1"/>
      <c r="AL976" s="1"/>
      <c r="AM976" s="1"/>
      <c r="AN976" s="1"/>
      <c r="AO976" s="1"/>
      <c r="AP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4"/>
      <c r="AI977" s="4"/>
      <c r="AJ977" s="1"/>
      <c r="AK977" s="1"/>
      <c r="AL977" s="1"/>
      <c r="AM977" s="1"/>
      <c r="AN977" s="1"/>
      <c r="AO977" s="1"/>
      <c r="AP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4"/>
      <c r="AI978" s="4"/>
      <c r="AJ978" s="1"/>
      <c r="AK978" s="1"/>
      <c r="AL978" s="1"/>
      <c r="AM978" s="1"/>
      <c r="AN978" s="1"/>
      <c r="AO978" s="1"/>
      <c r="AP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4"/>
      <c r="AI979" s="4"/>
      <c r="AJ979" s="1"/>
      <c r="AK979" s="1"/>
      <c r="AL979" s="1"/>
      <c r="AM979" s="1"/>
      <c r="AN979" s="1"/>
      <c r="AO979" s="1"/>
      <c r="AP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4"/>
      <c r="AI980" s="4"/>
      <c r="AJ980" s="1"/>
      <c r="AK980" s="1"/>
      <c r="AL980" s="1"/>
      <c r="AM980" s="1"/>
      <c r="AN980" s="1"/>
      <c r="AO980" s="1"/>
      <c r="AP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4"/>
      <c r="AI981" s="4"/>
      <c r="AJ981" s="1"/>
      <c r="AK981" s="1"/>
      <c r="AL981" s="1"/>
      <c r="AM981" s="1"/>
      <c r="AN981" s="1"/>
      <c r="AO981" s="1"/>
      <c r="AP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4"/>
      <c r="AI982" s="4"/>
      <c r="AJ982" s="1"/>
      <c r="AK982" s="1"/>
      <c r="AL982" s="1"/>
      <c r="AM982" s="1"/>
      <c r="AN982" s="1"/>
      <c r="AO982" s="1"/>
      <c r="AP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4"/>
      <c r="AI983" s="4"/>
      <c r="AJ983" s="1"/>
      <c r="AK983" s="1"/>
      <c r="AL983" s="1"/>
      <c r="AM983" s="1"/>
      <c r="AN983" s="1"/>
      <c r="AO983" s="1"/>
      <c r="AP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4"/>
      <c r="AI984" s="4"/>
      <c r="AJ984" s="1"/>
      <c r="AK984" s="1"/>
      <c r="AL984" s="1"/>
      <c r="AM984" s="1"/>
      <c r="AN984" s="1"/>
      <c r="AO984" s="1"/>
      <c r="AP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4"/>
      <c r="AI985" s="4"/>
      <c r="AJ985" s="1"/>
      <c r="AK985" s="1"/>
      <c r="AL985" s="1"/>
      <c r="AM985" s="1"/>
      <c r="AN985" s="1"/>
      <c r="AO985" s="1"/>
      <c r="AP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4"/>
      <c r="AI986" s="4"/>
      <c r="AJ986" s="1"/>
      <c r="AK986" s="1"/>
      <c r="AL986" s="1"/>
      <c r="AM986" s="1"/>
      <c r="AN986" s="1"/>
      <c r="AO986" s="1"/>
      <c r="AP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4"/>
      <c r="AI987" s="4"/>
      <c r="AJ987" s="1"/>
      <c r="AK987" s="1"/>
      <c r="AL987" s="1"/>
      <c r="AM987" s="1"/>
      <c r="AN987" s="1"/>
      <c r="AO987" s="1"/>
      <c r="AP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4"/>
      <c r="AI988" s="4"/>
      <c r="AJ988" s="1"/>
      <c r="AK988" s="1"/>
      <c r="AL988" s="1"/>
      <c r="AM988" s="1"/>
      <c r="AN988" s="1"/>
      <c r="AO988" s="1"/>
      <c r="AP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4"/>
      <c r="AI989" s="4"/>
      <c r="AJ989" s="1"/>
      <c r="AK989" s="1"/>
      <c r="AL989" s="1"/>
      <c r="AM989" s="1"/>
      <c r="AN989" s="1"/>
      <c r="AO989" s="1"/>
      <c r="AP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4"/>
      <c r="AI990" s="4"/>
      <c r="AJ990" s="1"/>
      <c r="AK990" s="1"/>
      <c r="AL990" s="1"/>
      <c r="AM990" s="1"/>
      <c r="AN990" s="1"/>
      <c r="AO990" s="1"/>
      <c r="AP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4"/>
      <c r="AI991" s="4"/>
      <c r="AJ991" s="1"/>
      <c r="AK991" s="1"/>
      <c r="AL991" s="1"/>
      <c r="AM991" s="1"/>
      <c r="AN991" s="1"/>
      <c r="AO991" s="1"/>
      <c r="AP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4"/>
      <c r="AI992" s="4"/>
      <c r="AJ992" s="1"/>
      <c r="AK992" s="1"/>
      <c r="AL992" s="1"/>
      <c r="AM992" s="1"/>
      <c r="AN992" s="1"/>
      <c r="AO992" s="1"/>
      <c r="AP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4"/>
      <c r="AI993" s="4"/>
      <c r="AJ993" s="1"/>
      <c r="AK993" s="1"/>
      <c r="AL993" s="1"/>
      <c r="AM993" s="1"/>
      <c r="AN993" s="1"/>
      <c r="AO993" s="1"/>
      <c r="AP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4"/>
      <c r="AI994" s="4"/>
      <c r="AJ994" s="1"/>
      <c r="AK994" s="1"/>
      <c r="AL994" s="1"/>
      <c r="AM994" s="1"/>
      <c r="AN994" s="1"/>
      <c r="AO994" s="1"/>
      <c r="AP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4"/>
      <c r="AI995" s="4"/>
      <c r="AJ995" s="1"/>
      <c r="AK995" s="1"/>
      <c r="AL995" s="1"/>
      <c r="AM995" s="1"/>
      <c r="AN995" s="1"/>
      <c r="AO995" s="1"/>
      <c r="AP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4"/>
      <c r="AI996" s="4"/>
      <c r="AJ996" s="1"/>
      <c r="AK996" s="1"/>
      <c r="AL996" s="1"/>
      <c r="AM996" s="1"/>
      <c r="AN996" s="1"/>
      <c r="AO996" s="1"/>
      <c r="AP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4"/>
      <c r="AI997" s="4"/>
      <c r="AJ997" s="1"/>
      <c r="AK997" s="1"/>
      <c r="AL997" s="1"/>
      <c r="AM997" s="1"/>
      <c r="AN997" s="1"/>
      <c r="AO997" s="1"/>
      <c r="AP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4"/>
      <c r="AI998" s="4"/>
      <c r="AJ998" s="1"/>
      <c r="AK998" s="1"/>
      <c r="AL998" s="1"/>
      <c r="AM998" s="1"/>
      <c r="AN998" s="1"/>
      <c r="AO998" s="1"/>
      <c r="AP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4"/>
      <c r="AI999" s="4"/>
      <c r="AJ999" s="1"/>
      <c r="AK999" s="1"/>
      <c r="AL999" s="1"/>
      <c r="AM999" s="1"/>
      <c r="AN999" s="1"/>
      <c r="AO999" s="1"/>
      <c r="AP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4"/>
      <c r="AI1000" s="4"/>
      <c r="AJ1000" s="1"/>
      <c r="AK1000" s="1"/>
      <c r="AL1000" s="1"/>
      <c r="AM1000" s="1"/>
      <c r="AN1000" s="1"/>
      <c r="AO1000" s="1"/>
      <c r="AP1000" s="1"/>
    </row>
  </sheetData>
  <mergeCells count="3">
    <mergeCell ref="E4:I4"/>
    <mergeCell ref="J4:AG4"/>
    <mergeCell ref="AJ4:AN4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 outlineLevelRow="1"/>
  <cols>
    <col customWidth="1" min="1" max="1" width="2.71"/>
    <col customWidth="1" min="2" max="2" width="26.14"/>
    <col customWidth="1" min="3" max="3" width="8.43"/>
    <col customWidth="1" min="4" max="4" width="2.71"/>
    <col customWidth="1" min="5" max="5" width="18.86"/>
    <col customWidth="1" min="6" max="20" width="9.57"/>
    <col customWidth="1" min="21" max="21" width="9.14"/>
    <col customWidth="1" min="22" max="26" width="8.71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1.5" customHeight="1">
      <c r="A4" s="1"/>
      <c r="B4" s="1"/>
      <c r="C4" s="1"/>
      <c r="D4" s="1"/>
      <c r="E4" s="1"/>
      <c r="F4" s="3" t="s">
        <v>1</v>
      </c>
      <c r="G4" s="3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12</v>
      </c>
      <c r="R4" s="5" t="s">
        <v>13</v>
      </c>
      <c r="S4" s="3" t="s">
        <v>14</v>
      </c>
      <c r="T4" s="3" t="s">
        <v>15</v>
      </c>
      <c r="U4" s="1"/>
      <c r="V4" s="1"/>
      <c r="W4" s="1"/>
      <c r="X4" s="1"/>
      <c r="Y4" s="1"/>
      <c r="Z4" s="1"/>
    </row>
    <row r="5" ht="4.5" customHeight="1">
      <c r="A5" s="1"/>
      <c r="B5" s="1"/>
      <c r="C5" s="1"/>
      <c r="D5" s="1"/>
      <c r="E5" s="1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/>
      <c r="S5" s="8"/>
      <c r="T5" s="1"/>
      <c r="U5" s="1"/>
      <c r="V5" s="1"/>
      <c r="W5" s="1"/>
      <c r="X5" s="1"/>
      <c r="Y5" s="1"/>
      <c r="Z5" s="1"/>
    </row>
    <row r="6" ht="12.75" customHeight="1">
      <c r="A6" s="1"/>
      <c r="B6" s="11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"/>
      <c r="V6" s="1"/>
      <c r="W6" s="1"/>
      <c r="X6" s="1"/>
      <c r="Y6" s="1"/>
      <c r="Z6" s="1"/>
    </row>
    <row r="7" ht="12.75" customHeight="1">
      <c r="A7" s="1"/>
      <c r="B7" s="1"/>
      <c r="C7" s="1"/>
      <c r="D7" s="1"/>
      <c r="E7" s="1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0"/>
      <c r="S7" s="8"/>
      <c r="T7" s="1"/>
      <c r="U7" s="1"/>
      <c r="V7" s="1"/>
      <c r="W7" s="1"/>
      <c r="X7" s="1"/>
      <c r="Y7" s="1"/>
      <c r="Z7" s="1"/>
    </row>
    <row r="8" ht="12.75" customHeight="1">
      <c r="A8" s="1"/>
      <c r="B8" s="1"/>
      <c r="C8" s="1"/>
      <c r="D8" s="12"/>
      <c r="E8" s="1" t="str">
        <f>+Model!B37</f>
        <v>Active units BoP</v>
      </c>
      <c r="F8" s="16">
        <f>+Model!AG37</f>
        <v>6855.799645</v>
      </c>
      <c r="G8" s="16">
        <f t="shared" ref="G8:R8" si="1">+F11</f>
        <v>7370.219681</v>
      </c>
      <c r="H8" s="16">
        <f t="shared" si="1"/>
        <v>7578.888256</v>
      </c>
      <c r="I8" s="16">
        <f t="shared" si="1"/>
        <v>7881.326396</v>
      </c>
      <c r="J8" s="16">
        <f t="shared" si="1"/>
        <v>8275.371307</v>
      </c>
      <c r="K8" s="16">
        <f t="shared" si="1"/>
        <v>8760.317362</v>
      </c>
      <c r="L8" s="16">
        <f t="shared" si="1"/>
        <v>9336.805331</v>
      </c>
      <c r="M8" s="16">
        <f t="shared" si="1"/>
        <v>10006.73848</v>
      </c>
      <c r="N8" s="16">
        <f t="shared" si="1"/>
        <v>10773.22249</v>
      </c>
      <c r="O8" s="16">
        <f t="shared" si="1"/>
        <v>11640.52671</v>
      </c>
      <c r="P8" s="16">
        <f t="shared" si="1"/>
        <v>12614.06466</v>
      </c>
      <c r="Q8" s="16">
        <f t="shared" si="1"/>
        <v>13700.39225</v>
      </c>
      <c r="R8" s="17">
        <f t="shared" si="1"/>
        <v>14907.22245</v>
      </c>
      <c r="S8" s="16">
        <f>+F11</f>
        <v>7370.219681</v>
      </c>
      <c r="T8" s="16">
        <f t="shared" ref="T8:T11" si="3">+AVERAGE(G8:R8)</f>
        <v>10237.09128</v>
      </c>
      <c r="U8" s="1"/>
      <c r="V8" s="1"/>
      <c r="W8" s="1"/>
      <c r="X8" s="1"/>
      <c r="Y8" s="1"/>
      <c r="Z8" s="1"/>
    </row>
    <row r="9" ht="12.75" customHeight="1">
      <c r="A9" s="1"/>
      <c r="B9" s="1" t="s">
        <v>21</v>
      </c>
      <c r="C9" s="20">
        <f>+RATE(12,-F9,0,S9,1)</f>
        <v>0.09516793943</v>
      </c>
      <c r="D9" s="20"/>
      <c r="E9" s="1" t="str">
        <f>+Model!B38</f>
        <v>Units sold</v>
      </c>
      <c r="F9" s="16">
        <f>+Model!AG38</f>
        <v>1200</v>
      </c>
      <c r="G9" s="16">
        <f t="shared" ref="G9:R9" si="2">+F9*(1+$C9)</f>
        <v>1314.201527</v>
      </c>
      <c r="H9" s="16">
        <f t="shared" si="2"/>
        <v>1439.271379</v>
      </c>
      <c r="I9" s="16">
        <f t="shared" si="2"/>
        <v>1576.24387</v>
      </c>
      <c r="J9" s="16">
        <f t="shared" si="2"/>
        <v>1726.251751</v>
      </c>
      <c r="K9" s="16">
        <f t="shared" si="2"/>
        <v>1890.535573</v>
      </c>
      <c r="L9" s="16">
        <f t="shared" si="2"/>
        <v>2070.453948</v>
      </c>
      <c r="M9" s="16">
        <f t="shared" si="2"/>
        <v>2267.494784</v>
      </c>
      <c r="N9" s="16">
        <f t="shared" si="2"/>
        <v>2483.28759</v>
      </c>
      <c r="O9" s="16">
        <f t="shared" si="2"/>
        <v>2719.616953</v>
      </c>
      <c r="P9" s="16">
        <f t="shared" si="2"/>
        <v>2978.437295</v>
      </c>
      <c r="Q9" s="16">
        <f t="shared" si="2"/>
        <v>3261.889035</v>
      </c>
      <c r="R9" s="17">
        <f t="shared" si="2"/>
        <v>3572.316293</v>
      </c>
      <c r="S9" s="16">
        <f>+Model!AL29</f>
        <v>27300</v>
      </c>
      <c r="T9" s="16">
        <f t="shared" si="3"/>
        <v>2275</v>
      </c>
      <c r="U9" s="1"/>
      <c r="V9" s="1"/>
      <c r="W9" s="1"/>
      <c r="X9" s="1"/>
      <c r="Y9" s="1"/>
      <c r="Z9" s="1"/>
    </row>
    <row r="10" ht="12.75" customHeight="1">
      <c r="A10" s="1"/>
      <c r="B10" s="1" t="s">
        <v>28</v>
      </c>
      <c r="C10" s="20">
        <f>+Model!AL35</f>
        <v>0.15</v>
      </c>
      <c r="D10" s="20"/>
      <c r="E10" s="1" t="str">
        <f>+Model!B39</f>
        <v>Churn</v>
      </c>
      <c r="F10" s="16">
        <f>+Model!AG39</f>
        <v>685.5799645</v>
      </c>
      <c r="G10" s="16">
        <f t="shared" ref="G10:R10" si="4">+$C10*G8</f>
        <v>1105.532952</v>
      </c>
      <c r="H10" s="16">
        <f t="shared" si="4"/>
        <v>1136.833238</v>
      </c>
      <c r="I10" s="16">
        <f t="shared" si="4"/>
        <v>1182.198959</v>
      </c>
      <c r="J10" s="16">
        <f t="shared" si="4"/>
        <v>1241.305696</v>
      </c>
      <c r="K10" s="16">
        <f t="shared" si="4"/>
        <v>1314.047604</v>
      </c>
      <c r="L10" s="16">
        <f t="shared" si="4"/>
        <v>1400.5208</v>
      </c>
      <c r="M10" s="16">
        <f t="shared" si="4"/>
        <v>1501.010772</v>
      </c>
      <c r="N10" s="16">
        <f t="shared" si="4"/>
        <v>1615.983374</v>
      </c>
      <c r="O10" s="16">
        <f t="shared" si="4"/>
        <v>1746.079006</v>
      </c>
      <c r="P10" s="16">
        <f t="shared" si="4"/>
        <v>1892.109698</v>
      </c>
      <c r="Q10" s="16">
        <f t="shared" si="4"/>
        <v>2055.058838</v>
      </c>
      <c r="R10" s="17">
        <f t="shared" si="4"/>
        <v>2236.083367</v>
      </c>
      <c r="S10" s="16">
        <f>+SUM(G10:R10)</f>
        <v>18426.76431</v>
      </c>
      <c r="T10" s="16">
        <f t="shared" si="3"/>
        <v>1535.563692</v>
      </c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28" t="str">
        <f>+Model!B40</f>
        <v>Active units EoP</v>
      </c>
      <c r="F11" s="29">
        <f t="shared" ref="F11:S11" si="5">+F8+F9-F10</f>
        <v>7370.219681</v>
      </c>
      <c r="G11" s="29">
        <f t="shared" si="5"/>
        <v>7578.888256</v>
      </c>
      <c r="H11" s="29">
        <f t="shared" si="5"/>
        <v>7881.326396</v>
      </c>
      <c r="I11" s="29">
        <f t="shared" si="5"/>
        <v>8275.371307</v>
      </c>
      <c r="J11" s="29">
        <f t="shared" si="5"/>
        <v>8760.317362</v>
      </c>
      <c r="K11" s="29">
        <f t="shared" si="5"/>
        <v>9336.805331</v>
      </c>
      <c r="L11" s="29">
        <f t="shared" si="5"/>
        <v>10006.73848</v>
      </c>
      <c r="M11" s="29">
        <f t="shared" si="5"/>
        <v>10773.22249</v>
      </c>
      <c r="N11" s="29">
        <f t="shared" si="5"/>
        <v>11640.52671</v>
      </c>
      <c r="O11" s="29">
        <f t="shared" si="5"/>
        <v>12614.06466</v>
      </c>
      <c r="P11" s="29">
        <f t="shared" si="5"/>
        <v>13700.39225</v>
      </c>
      <c r="Q11" s="29">
        <f t="shared" si="5"/>
        <v>14907.22245</v>
      </c>
      <c r="R11" s="31">
        <f t="shared" si="5"/>
        <v>16243.45538</v>
      </c>
      <c r="S11" s="29">
        <f t="shared" si="5"/>
        <v>16243.45538</v>
      </c>
      <c r="T11" s="29">
        <f t="shared" si="3"/>
        <v>10976.52759</v>
      </c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33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 t="s">
        <v>31</v>
      </c>
      <c r="F13" s="16">
        <f t="shared" ref="F13:R13" si="6">AVERAGE(F8,F11)</f>
        <v>7113.009663</v>
      </c>
      <c r="G13" s="16">
        <f t="shared" si="6"/>
        <v>7474.553968</v>
      </c>
      <c r="H13" s="16">
        <f t="shared" si="6"/>
        <v>7730.107326</v>
      </c>
      <c r="I13" s="16">
        <f t="shared" si="6"/>
        <v>8078.348852</v>
      </c>
      <c r="J13" s="16">
        <f t="shared" si="6"/>
        <v>8517.844334</v>
      </c>
      <c r="K13" s="16">
        <f t="shared" si="6"/>
        <v>9048.561347</v>
      </c>
      <c r="L13" s="16">
        <f t="shared" si="6"/>
        <v>9671.771905</v>
      </c>
      <c r="M13" s="16">
        <f t="shared" si="6"/>
        <v>10389.98049</v>
      </c>
      <c r="N13" s="16">
        <f t="shared" si="6"/>
        <v>11206.8746</v>
      </c>
      <c r="O13" s="16">
        <f t="shared" si="6"/>
        <v>12127.29568</v>
      </c>
      <c r="P13" s="16">
        <f t="shared" si="6"/>
        <v>13157.22845</v>
      </c>
      <c r="Q13" s="16">
        <f t="shared" si="6"/>
        <v>14303.80735</v>
      </c>
      <c r="R13" s="17">
        <f t="shared" si="6"/>
        <v>15575.33891</v>
      </c>
      <c r="S13" s="16">
        <f>+AVERAGE(G13:R13)</f>
        <v>10606.80943</v>
      </c>
      <c r="T13" s="16">
        <f>+AVERAGE(G13:R13)</f>
        <v>10606.80943</v>
      </c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33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1" t="s">
        <v>34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3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2"/>
      <c r="E17" s="1" t="str">
        <f t="shared" ref="E17:E20" si="8">+E8</f>
        <v>Active units BoP</v>
      </c>
      <c r="F17" s="16">
        <f t="shared" ref="F17:F20" si="9">+R8</f>
        <v>14907.22245</v>
      </c>
      <c r="G17" s="16">
        <f t="shared" ref="G17:R17" si="7">+F20</f>
        <v>16243.45538</v>
      </c>
      <c r="H17" s="16">
        <f t="shared" si="7"/>
        <v>17545.28935</v>
      </c>
      <c r="I17" s="16">
        <f t="shared" si="7"/>
        <v>18825.60131</v>
      </c>
      <c r="J17" s="16">
        <f t="shared" si="7"/>
        <v>20095.69536</v>
      </c>
      <c r="K17" s="16">
        <f t="shared" si="7"/>
        <v>21365.55532</v>
      </c>
      <c r="L17" s="16">
        <f t="shared" si="7"/>
        <v>22644.06023</v>
      </c>
      <c r="M17" s="16">
        <f t="shared" si="7"/>
        <v>23939.16834</v>
      </c>
      <c r="N17" s="16">
        <f t="shared" si="7"/>
        <v>25258.07432</v>
      </c>
      <c r="O17" s="16">
        <f t="shared" si="7"/>
        <v>26607.34377</v>
      </c>
      <c r="P17" s="16">
        <f t="shared" si="7"/>
        <v>27993.02856</v>
      </c>
      <c r="Q17" s="16">
        <f t="shared" si="7"/>
        <v>29420.76571</v>
      </c>
      <c r="R17" s="17">
        <f t="shared" si="7"/>
        <v>30895.8626</v>
      </c>
      <c r="S17" s="16">
        <f>+G17</f>
        <v>16243.45538</v>
      </c>
      <c r="T17" s="16">
        <f t="shared" ref="T17:T20" si="11">+AVERAGE(G17:R17)</f>
        <v>23402.82502</v>
      </c>
      <c r="U17" s="1"/>
      <c r="V17" s="1"/>
      <c r="W17" s="1"/>
      <c r="X17" s="1"/>
      <c r="Y17" s="1"/>
      <c r="Z17" s="1"/>
    </row>
    <row r="18" ht="12.75" customHeight="1">
      <c r="A18" s="1"/>
      <c r="B18" s="1" t="s">
        <v>21</v>
      </c>
      <c r="C18" s="20">
        <f>+RATE(12,-F18,0,S18,1)</f>
        <v>0.04647852259</v>
      </c>
      <c r="D18" s="20"/>
      <c r="E18" s="1" t="str">
        <f t="shared" si="8"/>
        <v>Units sold</v>
      </c>
      <c r="F18" s="16">
        <f t="shared" si="9"/>
        <v>3572.316293</v>
      </c>
      <c r="G18" s="16">
        <f t="shared" ref="G18:R18" si="10">+F18*(1+$C18)</f>
        <v>3738.352277</v>
      </c>
      <c r="H18" s="16">
        <f t="shared" si="10"/>
        <v>3912.105367</v>
      </c>
      <c r="I18" s="16">
        <f t="shared" si="10"/>
        <v>4093.934245</v>
      </c>
      <c r="J18" s="16">
        <f t="shared" si="10"/>
        <v>4284.21426</v>
      </c>
      <c r="K18" s="16">
        <f t="shared" si="10"/>
        <v>4483.33821</v>
      </c>
      <c r="L18" s="16">
        <f t="shared" si="10"/>
        <v>4691.717146</v>
      </c>
      <c r="M18" s="16">
        <f t="shared" si="10"/>
        <v>4909.781227</v>
      </c>
      <c r="N18" s="16">
        <f t="shared" si="10"/>
        <v>5137.980605</v>
      </c>
      <c r="O18" s="16">
        <f t="shared" si="10"/>
        <v>5376.786352</v>
      </c>
      <c r="P18" s="16">
        <f t="shared" si="10"/>
        <v>5626.691438</v>
      </c>
      <c r="Q18" s="16">
        <f t="shared" si="10"/>
        <v>5888.211744</v>
      </c>
      <c r="R18" s="17">
        <f t="shared" si="10"/>
        <v>6161.887126</v>
      </c>
      <c r="S18" s="16">
        <f>+Model!AM29</f>
        <v>58305</v>
      </c>
      <c r="T18" s="16">
        <f t="shared" si="11"/>
        <v>4858.75</v>
      </c>
      <c r="U18" s="1"/>
      <c r="V18" s="1"/>
      <c r="W18" s="1"/>
      <c r="X18" s="1"/>
      <c r="Y18" s="1"/>
      <c r="Z18" s="1"/>
    </row>
    <row r="19" ht="12.75" customHeight="1">
      <c r="A19" s="1"/>
      <c r="B19" s="1" t="s">
        <v>28</v>
      </c>
      <c r="C19" s="20">
        <f>+Model!AM35</f>
        <v>0.15</v>
      </c>
      <c r="D19" s="20"/>
      <c r="E19" s="1" t="str">
        <f t="shared" si="8"/>
        <v>Churn</v>
      </c>
      <c r="F19" s="16">
        <f t="shared" si="9"/>
        <v>2236.083367</v>
      </c>
      <c r="G19" s="16">
        <f t="shared" ref="G19:R19" si="12">+$C19*G17</f>
        <v>2436.518306</v>
      </c>
      <c r="H19" s="16">
        <f t="shared" si="12"/>
        <v>2631.793402</v>
      </c>
      <c r="I19" s="16">
        <f t="shared" si="12"/>
        <v>2823.840197</v>
      </c>
      <c r="J19" s="16">
        <f t="shared" si="12"/>
        <v>3014.354304</v>
      </c>
      <c r="K19" s="16">
        <f t="shared" si="12"/>
        <v>3204.833297</v>
      </c>
      <c r="L19" s="16">
        <f t="shared" si="12"/>
        <v>3396.609034</v>
      </c>
      <c r="M19" s="16">
        <f t="shared" si="12"/>
        <v>3590.875251</v>
      </c>
      <c r="N19" s="16">
        <f t="shared" si="12"/>
        <v>3788.711147</v>
      </c>
      <c r="O19" s="16">
        <f t="shared" si="12"/>
        <v>3991.101566</v>
      </c>
      <c r="P19" s="16">
        <f t="shared" si="12"/>
        <v>4198.954284</v>
      </c>
      <c r="Q19" s="16">
        <f t="shared" si="12"/>
        <v>4413.114857</v>
      </c>
      <c r="R19" s="17">
        <f t="shared" si="12"/>
        <v>4634.37939</v>
      </c>
      <c r="S19" s="16">
        <f>+SUM(G19:R19)</f>
        <v>42125.08504</v>
      </c>
      <c r="T19" s="16">
        <f t="shared" si="11"/>
        <v>3510.423753</v>
      </c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28" t="str">
        <f t="shared" si="8"/>
        <v>Active units EoP</v>
      </c>
      <c r="F20" s="29">
        <f t="shared" si="9"/>
        <v>16243.45538</v>
      </c>
      <c r="G20" s="29">
        <f t="shared" ref="G20:S20" si="13">+G17+G18-G19</f>
        <v>17545.28935</v>
      </c>
      <c r="H20" s="29">
        <f t="shared" si="13"/>
        <v>18825.60131</v>
      </c>
      <c r="I20" s="29">
        <f t="shared" si="13"/>
        <v>20095.69536</v>
      </c>
      <c r="J20" s="29">
        <f t="shared" si="13"/>
        <v>21365.55532</v>
      </c>
      <c r="K20" s="29">
        <f t="shared" si="13"/>
        <v>22644.06023</v>
      </c>
      <c r="L20" s="29">
        <f t="shared" si="13"/>
        <v>23939.16834</v>
      </c>
      <c r="M20" s="29">
        <f t="shared" si="13"/>
        <v>25258.07432</v>
      </c>
      <c r="N20" s="29">
        <f t="shared" si="13"/>
        <v>26607.34377</v>
      </c>
      <c r="O20" s="29">
        <f t="shared" si="13"/>
        <v>27993.02856</v>
      </c>
      <c r="P20" s="29">
        <f t="shared" si="13"/>
        <v>29420.76571</v>
      </c>
      <c r="Q20" s="29">
        <f t="shared" si="13"/>
        <v>30895.8626</v>
      </c>
      <c r="R20" s="31">
        <f t="shared" si="13"/>
        <v>32423.37034</v>
      </c>
      <c r="S20" s="29">
        <f t="shared" si="13"/>
        <v>32423.37034</v>
      </c>
      <c r="T20" s="29">
        <f t="shared" si="11"/>
        <v>24751.15127</v>
      </c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 t="s">
        <v>31</v>
      </c>
      <c r="F22" s="16">
        <f t="shared" ref="F22:R22" si="14">AVERAGE(F17,F20)</f>
        <v>15575.33891</v>
      </c>
      <c r="G22" s="16">
        <f t="shared" si="14"/>
        <v>16894.37236</v>
      </c>
      <c r="H22" s="16">
        <f t="shared" si="14"/>
        <v>18185.44533</v>
      </c>
      <c r="I22" s="16">
        <f t="shared" si="14"/>
        <v>19460.64834</v>
      </c>
      <c r="J22" s="16">
        <f t="shared" si="14"/>
        <v>20730.62534</v>
      </c>
      <c r="K22" s="16">
        <f t="shared" si="14"/>
        <v>22004.80777</v>
      </c>
      <c r="L22" s="16">
        <f t="shared" si="14"/>
        <v>23291.61428</v>
      </c>
      <c r="M22" s="16">
        <f t="shared" si="14"/>
        <v>24598.62133</v>
      </c>
      <c r="N22" s="16">
        <f t="shared" si="14"/>
        <v>25932.70904</v>
      </c>
      <c r="O22" s="16">
        <f t="shared" si="14"/>
        <v>27300.18617</v>
      </c>
      <c r="P22" s="16">
        <f t="shared" si="14"/>
        <v>28706.89714</v>
      </c>
      <c r="Q22" s="16">
        <f t="shared" si="14"/>
        <v>30158.31416</v>
      </c>
      <c r="R22" s="17">
        <f t="shared" si="14"/>
        <v>31659.61647</v>
      </c>
      <c r="S22" s="16">
        <f>+AVERAGE(G22:R22)</f>
        <v>24076.98814</v>
      </c>
      <c r="T22" s="16">
        <f>+AVERAGE(G22:R22)</f>
        <v>24076.98814</v>
      </c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40"/>
      <c r="U23" s="1"/>
      <c r="V23" s="1"/>
      <c r="W23" s="1"/>
      <c r="X23" s="1"/>
      <c r="Y23" s="1"/>
      <c r="Z23" s="1"/>
    </row>
    <row r="24" ht="12.75" customHeight="1">
      <c r="A24" s="1"/>
      <c r="B24" s="11" t="s">
        <v>37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3"/>
      <c r="S25" s="1"/>
      <c r="T25" s="40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2"/>
      <c r="E26" s="1" t="str">
        <f t="shared" ref="E26:E29" si="16">+E17</f>
        <v>Active units BoP</v>
      </c>
      <c r="F26" s="16">
        <f t="shared" ref="F26:F29" si="17">+R17</f>
        <v>30895.8626</v>
      </c>
      <c r="G26" s="16">
        <f t="shared" ref="G26:R26" si="15">+F29</f>
        <v>32423.37034</v>
      </c>
      <c r="H26" s="16">
        <f t="shared" si="15"/>
        <v>34202.37295</v>
      </c>
      <c r="I26" s="16">
        <f t="shared" si="15"/>
        <v>36232.63416</v>
      </c>
      <c r="J26" s="16">
        <f t="shared" si="15"/>
        <v>38516.87718</v>
      </c>
      <c r="K26" s="16">
        <f t="shared" si="15"/>
        <v>41060.5688</v>
      </c>
      <c r="L26" s="16">
        <f t="shared" si="15"/>
        <v>43871.75377</v>
      </c>
      <c r="M26" s="16">
        <f t="shared" si="15"/>
        <v>46960.93311</v>
      </c>
      <c r="N26" s="16">
        <f t="shared" si="15"/>
        <v>50340.98139</v>
      </c>
      <c r="O26" s="16">
        <f t="shared" si="15"/>
        <v>54027.09869</v>
      </c>
      <c r="P26" s="16">
        <f t="shared" si="15"/>
        <v>58036.79379</v>
      </c>
      <c r="Q26" s="16">
        <f t="shared" si="15"/>
        <v>62389.89579</v>
      </c>
      <c r="R26" s="17">
        <f t="shared" si="15"/>
        <v>67108.59188</v>
      </c>
      <c r="S26" s="16">
        <f>+G26</f>
        <v>32423.37034</v>
      </c>
      <c r="T26" s="16">
        <f t="shared" ref="T26:T29" si="19">+AVERAGE(G26:R26)</f>
        <v>47097.65599</v>
      </c>
      <c r="U26" s="1"/>
      <c r="V26" s="1"/>
      <c r="W26" s="1"/>
      <c r="X26" s="1"/>
      <c r="Y26" s="1"/>
      <c r="Z26" s="1"/>
    </row>
    <row r="27" ht="12.75" customHeight="1">
      <c r="A27" s="1"/>
      <c r="B27" s="1" t="s">
        <v>21</v>
      </c>
      <c r="C27" s="20">
        <f>+RATE(12,-F27,0,S27,1)</f>
        <v>0.07799900036</v>
      </c>
      <c r="D27" s="20"/>
      <c r="E27" s="1" t="str">
        <f t="shared" si="16"/>
        <v>Units sold</v>
      </c>
      <c r="F27" s="16">
        <f t="shared" si="17"/>
        <v>6161.887126</v>
      </c>
      <c r="G27" s="16">
        <f t="shared" ref="G27:R27" si="18">+F27*(1+$C27)</f>
        <v>6642.508162</v>
      </c>
      <c r="H27" s="16">
        <f t="shared" si="18"/>
        <v>7160.617159</v>
      </c>
      <c r="I27" s="16">
        <f t="shared" si="18"/>
        <v>7719.138139</v>
      </c>
      <c r="J27" s="16">
        <f t="shared" si="18"/>
        <v>8321.223198</v>
      </c>
      <c r="K27" s="16">
        <f t="shared" si="18"/>
        <v>8970.270289</v>
      </c>
      <c r="L27" s="16">
        <f t="shared" si="18"/>
        <v>9669.942404</v>
      </c>
      <c r="M27" s="16">
        <f t="shared" si="18"/>
        <v>10424.18825</v>
      </c>
      <c r="N27" s="16">
        <f t="shared" si="18"/>
        <v>11237.26451</v>
      </c>
      <c r="O27" s="16">
        <f t="shared" si="18"/>
        <v>12113.75991</v>
      </c>
      <c r="P27" s="16">
        <f t="shared" si="18"/>
        <v>13058.62107</v>
      </c>
      <c r="Q27" s="16">
        <f t="shared" si="18"/>
        <v>14077.18046</v>
      </c>
      <c r="R27" s="17">
        <f t="shared" si="18"/>
        <v>15175.18646</v>
      </c>
      <c r="S27" s="16">
        <f>+Model!AN29</f>
        <v>124569.9</v>
      </c>
      <c r="T27" s="16">
        <f t="shared" si="19"/>
        <v>10380.825</v>
      </c>
      <c r="U27" s="1"/>
      <c r="V27" s="1"/>
      <c r="W27" s="1"/>
      <c r="X27" s="1"/>
      <c r="Y27" s="1"/>
      <c r="Z27" s="1"/>
    </row>
    <row r="28" ht="12.75" customHeight="1">
      <c r="A28" s="1"/>
      <c r="B28" s="1" t="s">
        <v>28</v>
      </c>
      <c r="C28" s="20">
        <f>+Model!AN35</f>
        <v>0.15</v>
      </c>
      <c r="D28" s="20"/>
      <c r="E28" s="1" t="str">
        <f t="shared" si="16"/>
        <v>Churn</v>
      </c>
      <c r="F28" s="16">
        <f t="shared" si="17"/>
        <v>4634.37939</v>
      </c>
      <c r="G28" s="16">
        <f t="shared" ref="G28:R28" si="20">+$C28*G26</f>
        <v>4863.505551</v>
      </c>
      <c r="H28" s="16">
        <f t="shared" si="20"/>
        <v>5130.355942</v>
      </c>
      <c r="I28" s="16">
        <f t="shared" si="20"/>
        <v>5434.895125</v>
      </c>
      <c r="J28" s="16">
        <f t="shared" si="20"/>
        <v>5777.531577</v>
      </c>
      <c r="K28" s="16">
        <f t="shared" si="20"/>
        <v>6159.08532</v>
      </c>
      <c r="L28" s="16">
        <f t="shared" si="20"/>
        <v>6580.763065</v>
      </c>
      <c r="M28" s="16">
        <f t="shared" si="20"/>
        <v>7044.139966</v>
      </c>
      <c r="N28" s="16">
        <f t="shared" si="20"/>
        <v>7551.147208</v>
      </c>
      <c r="O28" s="16">
        <f t="shared" si="20"/>
        <v>8104.064803</v>
      </c>
      <c r="P28" s="16">
        <f t="shared" si="20"/>
        <v>8705.519068</v>
      </c>
      <c r="Q28" s="16">
        <f t="shared" si="20"/>
        <v>9358.484369</v>
      </c>
      <c r="R28" s="17">
        <f t="shared" si="20"/>
        <v>10066.28878</v>
      </c>
      <c r="S28" s="16">
        <f>+SUM(G28:R28)</f>
        <v>84775.78078</v>
      </c>
      <c r="T28" s="16">
        <f t="shared" si="19"/>
        <v>7064.648398</v>
      </c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28" t="str">
        <f t="shared" si="16"/>
        <v>Active units EoP</v>
      </c>
      <c r="F29" s="29">
        <f t="shared" si="17"/>
        <v>32423.37034</v>
      </c>
      <c r="G29" s="29">
        <f t="shared" ref="G29:S29" si="21">+G26+G27-G28</f>
        <v>34202.37295</v>
      </c>
      <c r="H29" s="29">
        <f t="shared" si="21"/>
        <v>36232.63416</v>
      </c>
      <c r="I29" s="29">
        <f t="shared" si="21"/>
        <v>38516.87718</v>
      </c>
      <c r="J29" s="29">
        <f t="shared" si="21"/>
        <v>41060.5688</v>
      </c>
      <c r="K29" s="29">
        <f t="shared" si="21"/>
        <v>43871.75377</v>
      </c>
      <c r="L29" s="29">
        <f t="shared" si="21"/>
        <v>46960.93311</v>
      </c>
      <c r="M29" s="29">
        <f t="shared" si="21"/>
        <v>50340.98139</v>
      </c>
      <c r="N29" s="29">
        <f t="shared" si="21"/>
        <v>54027.09869</v>
      </c>
      <c r="O29" s="29">
        <f t="shared" si="21"/>
        <v>58036.79379</v>
      </c>
      <c r="P29" s="29">
        <f t="shared" si="21"/>
        <v>62389.89579</v>
      </c>
      <c r="Q29" s="29">
        <f t="shared" si="21"/>
        <v>67108.59188</v>
      </c>
      <c r="R29" s="31">
        <f t="shared" si="21"/>
        <v>72217.48956</v>
      </c>
      <c r="S29" s="29">
        <f t="shared" si="21"/>
        <v>72217.48956</v>
      </c>
      <c r="T29" s="29">
        <f t="shared" si="19"/>
        <v>50413.83259</v>
      </c>
      <c r="U29" s="16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3"/>
      <c r="S30" s="1"/>
      <c r="T30" s="1"/>
      <c r="U30" s="16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 t="s">
        <v>31</v>
      </c>
      <c r="F31" s="16">
        <f t="shared" ref="F31:R31" si="22">AVERAGE(F26,F29)</f>
        <v>31659.61647</v>
      </c>
      <c r="G31" s="16">
        <f t="shared" si="22"/>
        <v>33312.87164</v>
      </c>
      <c r="H31" s="16">
        <f t="shared" si="22"/>
        <v>35217.50356</v>
      </c>
      <c r="I31" s="16">
        <f t="shared" si="22"/>
        <v>37374.75567</v>
      </c>
      <c r="J31" s="16">
        <f t="shared" si="22"/>
        <v>39788.72299</v>
      </c>
      <c r="K31" s="16">
        <f t="shared" si="22"/>
        <v>42466.16128</v>
      </c>
      <c r="L31" s="16">
        <f t="shared" si="22"/>
        <v>45416.34344</v>
      </c>
      <c r="M31" s="16">
        <f t="shared" si="22"/>
        <v>48650.95725</v>
      </c>
      <c r="N31" s="16">
        <f t="shared" si="22"/>
        <v>52184.04004</v>
      </c>
      <c r="O31" s="16">
        <f t="shared" si="22"/>
        <v>56031.94624</v>
      </c>
      <c r="P31" s="16">
        <f t="shared" si="22"/>
        <v>60213.34479</v>
      </c>
      <c r="Q31" s="16">
        <f t="shared" si="22"/>
        <v>64749.24384</v>
      </c>
      <c r="R31" s="17">
        <f t="shared" si="22"/>
        <v>69663.04072</v>
      </c>
      <c r="S31" s="16">
        <f>+AVERAGE(G31:R31)</f>
        <v>48755.74429</v>
      </c>
      <c r="T31" s="16">
        <f>+AVERAGE(G31:R31)</f>
        <v>48755.74429</v>
      </c>
      <c r="U31" s="16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47"/>
      <c r="J32" s="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4" t="s">
        <v>42</v>
      </c>
      <c r="C33" s="1"/>
      <c r="D33" s="1"/>
      <c r="E33" s="1"/>
      <c r="F33" s="1"/>
      <c r="G33" s="1"/>
      <c r="H33" s="1"/>
      <c r="I33" s="47"/>
      <c r="J33" s="4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5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5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portrait"/>
  <drawing r:id="rId1"/>
</worksheet>
</file>